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X:\2020\10-Q (Q3-2020)\Exportable Financials\"/>
    </mc:Choice>
  </mc:AlternateContent>
  <xr:revisionPtr revIDLastSave="0" documentId="8_{96A2A640-F3CF-469F-A6B9-5DB87CEC6FCE}" xr6:coauthVersionLast="45" xr6:coauthVersionMax="45" xr10:uidLastSave="{00000000-0000-0000-0000-000000000000}"/>
  <bookViews>
    <workbookView xWindow="-120" yWindow="-120" windowWidth="29040" windowHeight="15840" xr2:uid="{9E3E0547-23A9-48A2-A5C1-E7447EEC93A2}"/>
  </bookViews>
  <sheets>
    <sheet name="Cover" sheetId="5" r:id="rId1"/>
    <sheet name="Income Statements" sheetId="1" r:id="rId2"/>
    <sheet name="Balance Sheets" sheetId="2" r:id="rId3"/>
    <sheet name="Cash Flows" sheetId="3" r:id="rId4"/>
    <sheet name="Segments" sheetId="4" r:id="rId5"/>
  </sheets>
  <definedNames>
    <definedName name="_xlnm.Print_Area" localSheetId="2">'Balance Sheets'!$A$1:$N$43</definedName>
    <definedName name="_xlnm.Print_Area" localSheetId="3">'Cash Flows'!$A$1:$Q$65</definedName>
    <definedName name="_xlnm.Print_Area" localSheetId="0">Cover!$B$2:$N$29</definedName>
    <definedName name="_xlnm.Print_Area" localSheetId="1">'Income Statements'!$A$1:$Q$86</definedName>
    <definedName name="_xlnm.Print_Area" localSheetId="4">Segments!$A$1:$Q$50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63" i="3" l="1"/>
  <c r="X62" i="3"/>
  <c r="X61" i="3"/>
  <c r="X60" i="3"/>
  <c r="X48" i="4" l="1"/>
  <c r="X41" i="4"/>
  <c r="X43" i="4" s="1"/>
  <c r="X20" i="4"/>
  <c r="X34" i="4" s="1"/>
  <c r="X10" i="4"/>
  <c r="X12" i="4" s="1"/>
  <c r="X64" i="3" l="1"/>
  <c r="X57" i="3" l="1"/>
  <c r="X46" i="3"/>
  <c r="X44" i="3"/>
  <c r="X32" i="3"/>
  <c r="X7" i="3"/>
  <c r="X22" i="3" s="1"/>
  <c r="T41" i="2"/>
  <c r="T29" i="2"/>
  <c r="T34" i="2" s="1"/>
  <c r="T42" i="2" s="1"/>
  <c r="T13" i="2"/>
  <c r="T20" i="2" s="1"/>
  <c r="X36" i="1"/>
  <c r="X45" i="3" l="1"/>
  <c r="X47" i="3" s="1"/>
  <c r="X67" i="1" l="1"/>
  <c r="X79" i="1" s="1"/>
  <c r="X49" i="1"/>
  <c r="X47" i="1"/>
  <c r="X62" i="1" s="1"/>
  <c r="X42" i="1"/>
  <c r="X38" i="1"/>
  <c r="X37" i="1"/>
  <c r="X16" i="1"/>
  <c r="X17" i="1" s="1"/>
  <c r="X22" i="1" s="1"/>
  <c r="X24" i="1" s="1"/>
  <c r="X51" i="1" l="1"/>
  <c r="X54" i="1"/>
  <c r="X65" i="1" s="1"/>
  <c r="W62" i="3"/>
  <c r="W61" i="3"/>
  <c r="W48" i="4" l="1"/>
  <c r="W41" i="4"/>
  <c r="W43" i="4" s="1"/>
  <c r="W20" i="4"/>
  <c r="W34" i="4" s="1"/>
  <c r="W10" i="4"/>
  <c r="W12" i="4" s="1"/>
  <c r="W63" i="3" l="1"/>
  <c r="W57" i="3"/>
  <c r="W44" i="3"/>
  <c r="W32" i="3"/>
  <c r="S41" i="2" l="1"/>
  <c r="S29" i="2"/>
  <c r="S34" i="2" s="1"/>
  <c r="S13" i="2"/>
  <c r="S20" i="2" s="1"/>
  <c r="W37" i="1"/>
  <c r="W67" i="1"/>
  <c r="W79" i="1" s="1"/>
  <c r="W49" i="1"/>
  <c r="W47" i="1"/>
  <c r="W62" i="1" s="1"/>
  <c r="W42" i="1"/>
  <c r="W38" i="1"/>
  <c r="W16" i="1"/>
  <c r="W17" i="1" s="1"/>
  <c r="W22" i="1" s="1"/>
  <c r="W24" i="1" s="1"/>
  <c r="W7" i="3" s="1"/>
  <c r="W22" i="3" s="1"/>
  <c r="W60" i="3" l="1"/>
  <c r="W64" i="3" s="1"/>
  <c r="W36" i="1"/>
  <c r="W45" i="3"/>
  <c r="S42" i="2"/>
  <c r="W51" i="1"/>
  <c r="W54" i="1"/>
  <c r="W65" i="1" s="1"/>
  <c r="U25" i="4"/>
  <c r="P25" i="4"/>
  <c r="K25" i="4"/>
  <c r="F25" i="4"/>
  <c r="V48" i="4"/>
  <c r="V41" i="4"/>
  <c r="V43" i="4" s="1"/>
  <c r="V20" i="4"/>
  <c r="V34" i="4" s="1"/>
  <c r="V10" i="4"/>
  <c r="V12" i="4" s="1"/>
  <c r="U15" i="3"/>
  <c r="P15" i="3"/>
  <c r="K15" i="3"/>
  <c r="F15" i="3"/>
  <c r="V63" i="3"/>
  <c r="V62" i="3"/>
  <c r="V61" i="3"/>
  <c r="V57" i="3"/>
  <c r="V44" i="3"/>
  <c r="V32" i="3"/>
  <c r="R41" i="2"/>
  <c r="R29" i="2"/>
  <c r="R34" i="2" s="1"/>
  <c r="R13" i="2"/>
  <c r="R20" i="2" s="1"/>
  <c r="U69" i="1"/>
  <c r="P69" i="1"/>
  <c r="K69" i="1"/>
  <c r="F69" i="1"/>
  <c r="U56" i="1"/>
  <c r="P56" i="1"/>
  <c r="K56" i="1"/>
  <c r="F56" i="1"/>
  <c r="V42" i="1"/>
  <c r="U42" i="1"/>
  <c r="P42" i="1"/>
  <c r="K42" i="1"/>
  <c r="F42" i="1"/>
  <c r="U20" i="1"/>
  <c r="P20" i="1"/>
  <c r="K20" i="1"/>
  <c r="F20" i="1"/>
  <c r="V67" i="1"/>
  <c r="V79" i="1" s="1"/>
  <c r="V49" i="1"/>
  <c r="V47" i="1"/>
  <c r="V62" i="1" s="1"/>
  <c r="V38" i="1"/>
  <c r="V37" i="1"/>
  <c r="V16" i="1"/>
  <c r="V17" i="1" s="1"/>
  <c r="V22" i="1" s="1"/>
  <c r="R42" i="2" l="1"/>
  <c r="V24" i="1"/>
  <c r="V7" i="3" s="1"/>
  <c r="V22" i="3" s="1"/>
  <c r="V60" i="3" s="1"/>
  <c r="V64" i="3" s="1"/>
  <c r="V54" i="1"/>
  <c r="V65" i="1" s="1"/>
  <c r="V36" i="1"/>
  <c r="V51" i="1" s="1"/>
  <c r="T10" i="4"/>
  <c r="T12" i="4" s="1"/>
  <c r="U47" i="4"/>
  <c r="U46" i="4"/>
  <c r="U42" i="4"/>
  <c r="U40" i="4"/>
  <c r="U39" i="4"/>
  <c r="U38" i="4"/>
  <c r="U37" i="4"/>
  <c r="U33" i="4"/>
  <c r="U32" i="4"/>
  <c r="U31" i="4"/>
  <c r="U30" i="4"/>
  <c r="U29" i="4"/>
  <c r="U28" i="4"/>
  <c r="U27" i="4"/>
  <c r="U26" i="4"/>
  <c r="U24" i="4"/>
  <c r="U23" i="4"/>
  <c r="U22" i="4"/>
  <c r="U21" i="4"/>
  <c r="U19" i="4"/>
  <c r="U18" i="4"/>
  <c r="U17" i="4"/>
  <c r="U16" i="4"/>
  <c r="U15" i="4"/>
  <c r="U11" i="4"/>
  <c r="U9" i="4"/>
  <c r="U8" i="4"/>
  <c r="U7" i="4"/>
  <c r="T48" i="4"/>
  <c r="T41" i="4"/>
  <c r="T43" i="4" s="1"/>
  <c r="T20" i="4"/>
  <c r="T34" i="4" s="1"/>
  <c r="U10" i="4" l="1"/>
  <c r="U12" i="4" s="1"/>
  <c r="V45" i="3"/>
  <c r="U41" i="4"/>
  <c r="U43" i="4" s="1"/>
  <c r="U48" i="4"/>
  <c r="U20" i="4"/>
  <c r="U34" i="4" s="1"/>
  <c r="U56" i="3" l="1"/>
  <c r="U55" i="3"/>
  <c r="U42" i="3"/>
  <c r="U41" i="3"/>
  <c r="U40" i="3"/>
  <c r="U39" i="3"/>
  <c r="U38" i="3"/>
  <c r="U37" i="3"/>
  <c r="U36" i="3"/>
  <c r="U35" i="3"/>
  <c r="U30" i="3"/>
  <c r="U29" i="3"/>
  <c r="U28" i="3"/>
  <c r="U27" i="3"/>
  <c r="U63" i="3" s="1"/>
  <c r="U26" i="3"/>
  <c r="U62" i="3" s="1"/>
  <c r="U25" i="3"/>
  <c r="U61" i="3" s="1"/>
  <c r="U21" i="3"/>
  <c r="U20" i="3"/>
  <c r="U19" i="3"/>
  <c r="U18" i="3"/>
  <c r="U17" i="3"/>
  <c r="U16" i="3"/>
  <c r="U14" i="3"/>
  <c r="U13" i="3"/>
  <c r="U12" i="3"/>
  <c r="U11" i="3"/>
  <c r="U10" i="3"/>
  <c r="U9" i="3"/>
  <c r="T63" i="3"/>
  <c r="T62" i="3"/>
  <c r="T61" i="3"/>
  <c r="T57" i="3"/>
  <c r="T44" i="3"/>
  <c r="T32" i="3"/>
  <c r="Q41" i="2"/>
  <c r="Q29" i="2"/>
  <c r="Q34" i="2" s="1"/>
  <c r="Q42" i="2" s="1"/>
  <c r="Q13" i="2"/>
  <c r="Q20" i="2" s="1"/>
  <c r="T16" i="1"/>
  <c r="T17" i="1" s="1"/>
  <c r="T22" i="1" s="1"/>
  <c r="U57" i="3" l="1"/>
  <c r="U7" i="1" l="1"/>
  <c r="U77" i="1"/>
  <c r="U75" i="1"/>
  <c r="U74" i="1"/>
  <c r="U73" i="1"/>
  <c r="U72" i="1"/>
  <c r="U71" i="1"/>
  <c r="U70" i="1"/>
  <c r="U68" i="1"/>
  <c r="U67" i="1"/>
  <c r="U64" i="1"/>
  <c r="U63" i="1"/>
  <c r="U61" i="1"/>
  <c r="U60" i="1"/>
  <c r="U59" i="1"/>
  <c r="U58" i="1"/>
  <c r="U57" i="1"/>
  <c r="U55" i="1"/>
  <c r="U50" i="1"/>
  <c r="U48" i="1"/>
  <c r="U46" i="1"/>
  <c r="U45" i="1"/>
  <c r="U44" i="1"/>
  <c r="U41" i="1"/>
  <c r="U40" i="1"/>
  <c r="U39" i="1"/>
  <c r="U23" i="1"/>
  <c r="U21" i="1"/>
  <c r="U19" i="1"/>
  <c r="U18" i="1"/>
  <c r="U15" i="1"/>
  <c r="U14" i="1"/>
  <c r="U13" i="1"/>
  <c r="U12" i="1"/>
  <c r="U11" i="1"/>
  <c r="U10" i="1"/>
  <c r="U9" i="1"/>
  <c r="T67" i="1"/>
  <c r="T79" i="1" s="1"/>
  <c r="T49" i="1"/>
  <c r="T47" i="1"/>
  <c r="T62" i="1" s="1"/>
  <c r="T43" i="1"/>
  <c r="T38" i="1"/>
  <c r="T37" i="1"/>
  <c r="T24" i="1"/>
  <c r="T36" i="1" l="1"/>
  <c r="T7" i="3"/>
  <c r="T22" i="3" s="1"/>
  <c r="U79" i="1"/>
  <c r="U16" i="1"/>
  <c r="U17" i="1" s="1"/>
  <c r="T54" i="1"/>
  <c r="S48" i="4"/>
  <c r="S41" i="4"/>
  <c r="S43" i="4" s="1"/>
  <c r="S20" i="4"/>
  <c r="S34" i="4" s="1"/>
  <c r="S10" i="4"/>
  <c r="S12" i="4" s="1"/>
  <c r="S61" i="3"/>
  <c r="S31" i="3"/>
  <c r="U31" i="3" s="1"/>
  <c r="U32" i="3" s="1"/>
  <c r="S63" i="3"/>
  <c r="S62" i="3"/>
  <c r="S57" i="3"/>
  <c r="S44" i="3"/>
  <c r="U22" i="1" l="1"/>
  <c r="U24" i="1" s="1"/>
  <c r="T60" i="3"/>
  <c r="T64" i="3" s="1"/>
  <c r="T45" i="3"/>
  <c r="S32" i="3"/>
  <c r="T51" i="1"/>
  <c r="T65" i="1"/>
  <c r="P41" i="2"/>
  <c r="P29" i="2"/>
  <c r="P34" i="2" s="1"/>
  <c r="P13" i="2"/>
  <c r="P20" i="2" s="1"/>
  <c r="S67" i="1"/>
  <c r="S79" i="1" s="1"/>
  <c r="S49" i="1"/>
  <c r="S47" i="1"/>
  <c r="S62" i="1" s="1"/>
  <c r="S43" i="1"/>
  <c r="S38" i="1"/>
  <c r="S37" i="1"/>
  <c r="S16" i="1"/>
  <c r="S17" i="1" s="1"/>
  <c r="S22" i="1" l="1"/>
  <c r="S24" i="1" s="1"/>
  <c r="S7" i="3" s="1"/>
  <c r="S22" i="3" s="1"/>
  <c r="S60" i="3" s="1"/>
  <c r="S64" i="3" s="1"/>
  <c r="P42" i="2"/>
  <c r="R48" i="4"/>
  <c r="R41" i="4"/>
  <c r="R43" i="4" s="1"/>
  <c r="R20" i="4"/>
  <c r="R34" i="4" s="1"/>
  <c r="R10" i="4"/>
  <c r="R12" i="4" s="1"/>
  <c r="R63" i="3"/>
  <c r="R62" i="3"/>
  <c r="R61" i="3"/>
  <c r="R57" i="3"/>
  <c r="R44" i="3"/>
  <c r="R32" i="3"/>
  <c r="O41" i="2"/>
  <c r="O29" i="2"/>
  <c r="O34" i="2" s="1"/>
  <c r="O13" i="2"/>
  <c r="O20" i="2" s="1"/>
  <c r="R67" i="1"/>
  <c r="R79" i="1" s="1"/>
  <c r="R49" i="1"/>
  <c r="R47" i="1"/>
  <c r="R62" i="1" s="1"/>
  <c r="R43" i="1"/>
  <c r="R38" i="1"/>
  <c r="R37" i="1"/>
  <c r="R16" i="1"/>
  <c r="R17" i="1" s="1"/>
  <c r="S54" i="1" l="1"/>
  <c r="S65" i="1" s="1"/>
  <c r="S36" i="1"/>
  <c r="S51" i="1" s="1"/>
  <c r="S45" i="3"/>
  <c r="R22" i="1"/>
  <c r="R24" i="1" s="1"/>
  <c r="O42" i="2"/>
  <c r="E19" i="3"/>
  <c r="R7" i="3" l="1"/>
  <c r="R22" i="3" s="1"/>
  <c r="R60" i="3" s="1"/>
  <c r="R36" i="1"/>
  <c r="R51" i="1" s="1"/>
  <c r="R54" i="1"/>
  <c r="R65" i="1" s="1"/>
  <c r="D19" i="3"/>
  <c r="D21" i="3"/>
  <c r="R64" i="3" l="1"/>
  <c r="R45" i="3"/>
  <c r="C19" i="3"/>
  <c r="B19" i="3" l="1"/>
  <c r="J19" i="3" l="1"/>
  <c r="I19" i="3" l="1"/>
  <c r="I21" i="3"/>
  <c r="H19" i="3" l="1"/>
  <c r="G19" i="3" l="1"/>
  <c r="N19" i="3" l="1"/>
  <c r="N21" i="3"/>
  <c r="M19" i="3" l="1"/>
  <c r="M21" i="3"/>
  <c r="L19" i="3" l="1"/>
  <c r="L21" i="3"/>
  <c r="O19" i="3"/>
  <c r="P29" i="4" l="1"/>
  <c r="K29" i="4"/>
  <c r="F29" i="4"/>
  <c r="P24" i="4"/>
  <c r="K24" i="4"/>
  <c r="F24" i="4"/>
  <c r="Q43" i="3"/>
  <c r="P42" i="3"/>
  <c r="K42" i="3"/>
  <c r="F42" i="3"/>
  <c r="P30" i="3"/>
  <c r="K30" i="3"/>
  <c r="F30" i="3"/>
  <c r="P12" i="3"/>
  <c r="K12" i="3"/>
  <c r="F12" i="3"/>
  <c r="P11" i="3"/>
  <c r="K11" i="3"/>
  <c r="F11" i="3"/>
  <c r="P70" i="1"/>
  <c r="K70" i="1"/>
  <c r="F70" i="1"/>
  <c r="P68" i="1"/>
  <c r="K68" i="1"/>
  <c r="F68" i="1"/>
  <c r="P57" i="1"/>
  <c r="K57" i="1"/>
  <c r="F57" i="1"/>
  <c r="P55" i="1"/>
  <c r="K55" i="1"/>
  <c r="F55" i="1"/>
  <c r="P41" i="1"/>
  <c r="K41" i="1"/>
  <c r="F41" i="1"/>
  <c r="P44" i="1"/>
  <c r="K44" i="1"/>
  <c r="F44" i="1"/>
  <c r="P19" i="1"/>
  <c r="K19" i="1"/>
  <c r="F19" i="1"/>
  <c r="P11" i="1"/>
  <c r="K11" i="1"/>
  <c r="F11" i="1"/>
  <c r="Q48" i="4"/>
  <c r="Q41" i="4"/>
  <c r="Q43" i="4" s="1"/>
  <c r="Q20" i="4"/>
  <c r="Q34" i="4" s="1"/>
  <c r="Q10" i="4"/>
  <c r="Q12" i="4" s="1"/>
  <c r="Q63" i="3"/>
  <c r="Q62" i="3"/>
  <c r="Q61" i="3"/>
  <c r="Q57" i="3"/>
  <c r="Q32" i="3"/>
  <c r="N41" i="2"/>
  <c r="N29" i="2"/>
  <c r="N34" i="2" s="1"/>
  <c r="N13" i="2"/>
  <c r="N20" i="2" s="1"/>
  <c r="Q67" i="1"/>
  <c r="Q79" i="1" s="1"/>
  <c r="Q49" i="1"/>
  <c r="U49" i="1" s="1"/>
  <c r="Q47" i="1"/>
  <c r="Q43" i="1"/>
  <c r="U43" i="1" s="1"/>
  <c r="Q38" i="1"/>
  <c r="U38" i="1" s="1"/>
  <c r="Q37" i="1"/>
  <c r="U37" i="1" s="1"/>
  <c r="Q16" i="1"/>
  <c r="Q17" i="1" s="1"/>
  <c r="Q22" i="1" s="1"/>
  <c r="Q62" i="1" l="1"/>
  <c r="U62" i="1" s="1"/>
  <c r="U47" i="1"/>
  <c r="Q44" i="3"/>
  <c r="U43" i="3"/>
  <c r="U44" i="3" s="1"/>
  <c r="Q24" i="1"/>
  <c r="Q7" i="3" s="1"/>
  <c r="N42" i="2"/>
  <c r="N43" i="3"/>
  <c r="L43" i="3"/>
  <c r="Q22" i="3" l="1"/>
  <c r="Q60" i="3" s="1"/>
  <c r="Q64" i="3" s="1"/>
  <c r="U7" i="3"/>
  <c r="U22" i="3" s="1"/>
  <c r="U60" i="3" s="1"/>
  <c r="U64" i="3" s="1"/>
  <c r="Q54" i="1"/>
  <c r="Q36" i="1"/>
  <c r="P35" i="3"/>
  <c r="P18" i="3"/>
  <c r="K60" i="1"/>
  <c r="F46" i="3"/>
  <c r="Q45" i="3" l="1"/>
  <c r="Q65" i="1"/>
  <c r="U54" i="1"/>
  <c r="U65" i="1" s="1"/>
  <c r="U45" i="3"/>
  <c r="Q51" i="1"/>
  <c r="U36" i="1"/>
  <c r="U51" i="1" s="1"/>
  <c r="F59" i="1"/>
  <c r="B67" i="1" l="1"/>
  <c r="P64" i="1" l="1"/>
  <c r="O10" i="3" l="1"/>
  <c r="P56" i="3" l="1"/>
  <c r="O43" i="3"/>
  <c r="O31" i="3"/>
  <c r="O27" i="3"/>
  <c r="O26" i="3"/>
  <c r="O25" i="3"/>
  <c r="O61" i="3" s="1"/>
  <c r="O20" i="3" l="1"/>
  <c r="O16" i="3" l="1"/>
  <c r="O14" i="3"/>
  <c r="O13" i="3"/>
  <c r="O9" i="3"/>
  <c r="O7" i="3"/>
  <c r="C31" i="3" l="1"/>
  <c r="E31" i="3"/>
  <c r="B31" i="3"/>
  <c r="E19" i="4" l="1"/>
  <c r="D19" i="4"/>
  <c r="C19" i="4"/>
  <c r="B19" i="4"/>
  <c r="E28" i="4"/>
  <c r="D28" i="4"/>
  <c r="C28" i="4"/>
  <c r="B28" i="4"/>
  <c r="J33" i="4" l="1"/>
  <c r="J30" i="4"/>
  <c r="J28" i="4"/>
  <c r="E15" i="4"/>
  <c r="E17" i="4"/>
  <c r="C18" i="4"/>
  <c r="B18" i="4"/>
  <c r="P18" i="1" l="1"/>
  <c r="O47" i="4"/>
  <c r="O22" i="4" l="1"/>
  <c r="O11" i="4"/>
  <c r="B29" i="2"/>
  <c r="M13" i="2"/>
  <c r="L13" i="2"/>
  <c r="K13" i="2"/>
  <c r="J13" i="2"/>
  <c r="I13" i="2"/>
  <c r="H13" i="2"/>
  <c r="G13" i="2"/>
  <c r="F13" i="2"/>
  <c r="E13" i="2"/>
  <c r="D13" i="2"/>
  <c r="C13" i="2"/>
  <c r="B13" i="2"/>
  <c r="E9" i="1" l="1"/>
  <c r="D9" i="1"/>
  <c r="C9" i="1"/>
  <c r="B9" i="1"/>
  <c r="E21" i="1"/>
  <c r="D21" i="1"/>
  <c r="D43" i="1" s="1"/>
  <c r="C21" i="1"/>
  <c r="C43" i="1" s="1"/>
  <c r="B21" i="1"/>
  <c r="B43" i="1" s="1"/>
  <c r="E18" i="4"/>
  <c r="D18" i="4"/>
  <c r="F67" i="1" l="1"/>
  <c r="C71" i="1"/>
  <c r="O41" i="4" l="1"/>
  <c r="N41" i="4"/>
  <c r="M41" i="4"/>
  <c r="L41" i="4"/>
  <c r="J41" i="4"/>
  <c r="J22" i="4" s="1"/>
  <c r="I41" i="4"/>
  <c r="I22" i="4" s="1"/>
  <c r="H41" i="4"/>
  <c r="H22" i="4" s="1"/>
  <c r="G41" i="4"/>
  <c r="G22" i="4" s="1"/>
  <c r="E41" i="4"/>
  <c r="E22" i="4" s="1"/>
  <c r="D41" i="4"/>
  <c r="D22" i="4" s="1"/>
  <c r="C41" i="4"/>
  <c r="C22" i="4" s="1"/>
  <c r="B41" i="4"/>
  <c r="B22" i="4" s="1"/>
  <c r="P47" i="4"/>
  <c r="P46" i="4"/>
  <c r="P42" i="4"/>
  <c r="P40" i="4"/>
  <c r="P39" i="4"/>
  <c r="P38" i="4"/>
  <c r="P37" i="4"/>
  <c r="P33" i="4"/>
  <c r="P32" i="4"/>
  <c r="P31" i="4"/>
  <c r="P30" i="4"/>
  <c r="P28" i="4"/>
  <c r="P27" i="4"/>
  <c r="P26" i="4"/>
  <c r="P23" i="4"/>
  <c r="P22" i="4"/>
  <c r="P21" i="4"/>
  <c r="P19" i="4"/>
  <c r="P18" i="4"/>
  <c r="P17" i="4"/>
  <c r="P16" i="4"/>
  <c r="P15" i="4"/>
  <c r="P11" i="4"/>
  <c r="P9" i="4"/>
  <c r="P8" i="4"/>
  <c r="P7" i="4"/>
  <c r="K47" i="4"/>
  <c r="K46" i="4"/>
  <c r="K48" i="4" s="1"/>
  <c r="K42" i="4"/>
  <c r="K40" i="4"/>
  <c r="K39" i="4"/>
  <c r="K38" i="4"/>
  <c r="K37" i="4"/>
  <c r="K33" i="4"/>
  <c r="K32" i="4"/>
  <c r="K31" i="4"/>
  <c r="K30" i="4"/>
  <c r="K28" i="4"/>
  <c r="K27" i="4"/>
  <c r="K19" i="4"/>
  <c r="K18" i="4"/>
  <c r="K17" i="4"/>
  <c r="K16" i="4"/>
  <c r="K15" i="4"/>
  <c r="K11" i="4"/>
  <c r="K9" i="4"/>
  <c r="K8" i="4"/>
  <c r="K7" i="4"/>
  <c r="F47" i="4"/>
  <c r="F46" i="4"/>
  <c r="F42" i="4"/>
  <c r="F40" i="4"/>
  <c r="F39" i="4"/>
  <c r="F38" i="4"/>
  <c r="F37" i="4"/>
  <c r="F33" i="4"/>
  <c r="F32" i="4"/>
  <c r="F31" i="4"/>
  <c r="F30" i="4"/>
  <c r="F28" i="4"/>
  <c r="F27" i="4"/>
  <c r="F11" i="4"/>
  <c r="F9" i="4"/>
  <c r="F8" i="4"/>
  <c r="F7" i="4"/>
  <c r="P43" i="3"/>
  <c r="P41" i="3"/>
  <c r="P40" i="3"/>
  <c r="P39" i="3"/>
  <c r="P38" i="3"/>
  <c r="P37" i="3"/>
  <c r="P36" i="3"/>
  <c r="P31" i="3"/>
  <c r="P29" i="3"/>
  <c r="P28" i="3"/>
  <c r="P27" i="3"/>
  <c r="P26" i="3"/>
  <c r="P25" i="3"/>
  <c r="P21" i="3"/>
  <c r="P20" i="3"/>
  <c r="P19" i="3"/>
  <c r="P17" i="3"/>
  <c r="P16" i="3"/>
  <c r="P14" i="3"/>
  <c r="P13" i="3"/>
  <c r="P10" i="3"/>
  <c r="P9" i="3"/>
  <c r="K41" i="3"/>
  <c r="K40" i="3"/>
  <c r="K39" i="3"/>
  <c r="K38" i="3"/>
  <c r="K37" i="3"/>
  <c r="K36" i="3"/>
  <c r="K35" i="3"/>
  <c r="K29" i="3"/>
  <c r="K28" i="3"/>
  <c r="K27" i="3"/>
  <c r="K26" i="3"/>
  <c r="K25" i="3"/>
  <c r="K21" i="3"/>
  <c r="K20" i="3"/>
  <c r="K18" i="3"/>
  <c r="K17" i="3"/>
  <c r="K16" i="3"/>
  <c r="K14" i="3"/>
  <c r="K13" i="3"/>
  <c r="K10" i="3"/>
  <c r="K9" i="3"/>
  <c r="F41" i="3"/>
  <c r="F40" i="3"/>
  <c r="F39" i="3"/>
  <c r="F38" i="3"/>
  <c r="F37" i="3"/>
  <c r="F36" i="3"/>
  <c r="F29" i="3"/>
  <c r="F28" i="3"/>
  <c r="F21" i="3"/>
  <c r="F20" i="3"/>
  <c r="F17" i="3"/>
  <c r="F14" i="3"/>
  <c r="P23" i="1"/>
  <c r="P77" i="1"/>
  <c r="P75" i="1"/>
  <c r="P74" i="1"/>
  <c r="P73" i="1"/>
  <c r="P72" i="1"/>
  <c r="P71" i="1"/>
  <c r="K78" i="1"/>
  <c r="K77" i="1"/>
  <c r="K76" i="1"/>
  <c r="K75" i="1"/>
  <c r="K74" i="1"/>
  <c r="K73" i="1"/>
  <c r="K72" i="1"/>
  <c r="K71" i="1"/>
  <c r="F71" i="1"/>
  <c r="P63" i="1"/>
  <c r="P61" i="1"/>
  <c r="P60" i="1"/>
  <c r="P59" i="1"/>
  <c r="P58" i="1"/>
  <c r="K64" i="1"/>
  <c r="K63" i="1"/>
  <c r="K61" i="1"/>
  <c r="K59" i="1"/>
  <c r="K58" i="1"/>
  <c r="F61" i="1"/>
  <c r="P50" i="1"/>
  <c r="P48" i="1"/>
  <c r="P46" i="1"/>
  <c r="P45" i="1"/>
  <c r="P40" i="1"/>
  <c r="P39" i="1"/>
  <c r="K50" i="1"/>
  <c r="K46" i="1"/>
  <c r="K45" i="1"/>
  <c r="K40" i="1"/>
  <c r="K39" i="1"/>
  <c r="P21" i="1"/>
  <c r="P15" i="1"/>
  <c r="P14" i="1"/>
  <c r="P13" i="1"/>
  <c r="P12" i="1"/>
  <c r="P10" i="1"/>
  <c r="P9" i="1"/>
  <c r="P7" i="1"/>
  <c r="K23" i="1"/>
  <c r="K21" i="1"/>
  <c r="K18" i="1"/>
  <c r="K15" i="1"/>
  <c r="K14" i="1"/>
  <c r="K13" i="1"/>
  <c r="K12" i="1"/>
  <c r="K10" i="1"/>
  <c r="K9" i="1"/>
  <c r="K7" i="1"/>
  <c r="F78" i="1"/>
  <c r="F77" i="1"/>
  <c r="F76" i="1"/>
  <c r="F75" i="1"/>
  <c r="F74" i="1"/>
  <c r="F73" i="1"/>
  <c r="F72" i="1"/>
  <c r="F64" i="1"/>
  <c r="F63" i="1"/>
  <c r="F62" i="1"/>
  <c r="F60" i="1"/>
  <c r="F50" i="1"/>
  <c r="F48" i="1"/>
  <c r="F46" i="1"/>
  <c r="F45" i="1"/>
  <c r="F40" i="1"/>
  <c r="F39" i="1"/>
  <c r="F23" i="1"/>
  <c r="F21" i="1"/>
  <c r="F18" i="1"/>
  <c r="F15" i="1"/>
  <c r="F14" i="1"/>
  <c r="F13" i="1"/>
  <c r="F12" i="1"/>
  <c r="F9" i="1"/>
  <c r="F7" i="1"/>
  <c r="F41" i="4" l="1"/>
  <c r="K41" i="4"/>
  <c r="K43" i="4" s="1"/>
  <c r="P32" i="3"/>
  <c r="P20" i="4"/>
  <c r="P34" i="4" s="1"/>
  <c r="K10" i="4"/>
  <c r="K12" i="4" s="1"/>
  <c r="K16" i="1"/>
  <c r="K17" i="1" s="1"/>
  <c r="K22" i="1" s="1"/>
  <c r="K20" i="4"/>
  <c r="P41" i="4"/>
  <c r="P43" i="4" s="1"/>
  <c r="P10" i="4"/>
  <c r="P12" i="4" s="1"/>
  <c r="P16" i="1"/>
  <c r="P17" i="1" s="1"/>
  <c r="P22" i="1" s="1"/>
  <c r="P48" i="4"/>
  <c r="B79" i="1"/>
  <c r="C67" i="1"/>
  <c r="D67" i="1"/>
  <c r="D79" i="1" s="1"/>
  <c r="E67" i="1"/>
  <c r="E79" i="1" s="1"/>
  <c r="G67" i="1"/>
  <c r="G79" i="1" s="1"/>
  <c r="H67" i="1"/>
  <c r="H79" i="1" s="1"/>
  <c r="I67" i="1"/>
  <c r="I79" i="1" s="1"/>
  <c r="J67" i="1"/>
  <c r="J79" i="1" s="1"/>
  <c r="K67" i="1"/>
  <c r="L67" i="1"/>
  <c r="L79" i="1" s="1"/>
  <c r="M67" i="1"/>
  <c r="M79" i="1" s="1"/>
  <c r="N67" i="1"/>
  <c r="N79" i="1" s="1"/>
  <c r="O67" i="1"/>
  <c r="O79" i="1" s="1"/>
  <c r="P67" i="1"/>
  <c r="P24" i="1" l="1"/>
  <c r="K24" i="1"/>
  <c r="C79" i="1"/>
  <c r="K79" i="1"/>
  <c r="P79" i="1"/>
  <c r="F79" i="1" l="1"/>
  <c r="F19" i="4"/>
  <c r="E16" i="4"/>
  <c r="D17" i="4"/>
  <c r="D16" i="4"/>
  <c r="D15" i="4"/>
  <c r="C17" i="4"/>
  <c r="C16" i="4"/>
  <c r="C15" i="4"/>
  <c r="F18" i="4"/>
  <c r="B17" i="4"/>
  <c r="B16" i="4"/>
  <c r="B15" i="4"/>
  <c r="F15" i="4" l="1"/>
  <c r="F16" i="4"/>
  <c r="F17" i="4"/>
  <c r="B23" i="4"/>
  <c r="C23" i="4"/>
  <c r="D23" i="4"/>
  <c r="E23" i="4"/>
  <c r="H23" i="4"/>
  <c r="I23" i="4"/>
  <c r="J23" i="4"/>
  <c r="G23" i="4"/>
  <c r="H26" i="4"/>
  <c r="I26" i="4"/>
  <c r="J26" i="4"/>
  <c r="G26" i="4"/>
  <c r="B48" i="4"/>
  <c r="B21" i="4" s="1"/>
  <c r="C48" i="4"/>
  <c r="C21" i="4" s="1"/>
  <c r="D48" i="4"/>
  <c r="D21" i="4" s="1"/>
  <c r="E48" i="4"/>
  <c r="E21" i="4" s="1"/>
  <c r="B43" i="4"/>
  <c r="C43" i="4"/>
  <c r="D43" i="4"/>
  <c r="E43" i="4"/>
  <c r="B20" i="4"/>
  <c r="C20" i="4"/>
  <c r="D20" i="4"/>
  <c r="E20" i="4"/>
  <c r="B10" i="4"/>
  <c r="B12" i="4" s="1"/>
  <c r="C10" i="4"/>
  <c r="C12" i="4" s="1"/>
  <c r="D10" i="4"/>
  <c r="D12" i="4" s="1"/>
  <c r="E10" i="4"/>
  <c r="E12" i="4" s="1"/>
  <c r="G48" i="4"/>
  <c r="G21" i="4" s="1"/>
  <c r="H48" i="4"/>
  <c r="H21" i="4" s="1"/>
  <c r="I48" i="4"/>
  <c r="I21" i="4" s="1"/>
  <c r="J48" i="4"/>
  <c r="J21" i="4" s="1"/>
  <c r="G43" i="4"/>
  <c r="H43" i="4"/>
  <c r="I43" i="4"/>
  <c r="J43" i="4"/>
  <c r="G20" i="4"/>
  <c r="H20" i="4"/>
  <c r="I20" i="4"/>
  <c r="J20" i="4"/>
  <c r="G10" i="4"/>
  <c r="G12" i="4" s="1"/>
  <c r="H10" i="4"/>
  <c r="H12" i="4" s="1"/>
  <c r="I10" i="4"/>
  <c r="I12" i="4" s="1"/>
  <c r="J10" i="4"/>
  <c r="J12" i="4" s="1"/>
  <c r="L48" i="4"/>
  <c r="M48" i="4"/>
  <c r="N48" i="4"/>
  <c r="L43" i="4"/>
  <c r="M43" i="4"/>
  <c r="N43" i="4"/>
  <c r="L20" i="4"/>
  <c r="L34" i="4" s="1"/>
  <c r="M20" i="4"/>
  <c r="M34" i="4" s="1"/>
  <c r="N20" i="4"/>
  <c r="N34" i="4" s="1"/>
  <c r="L10" i="4"/>
  <c r="L12" i="4" s="1"/>
  <c r="M10" i="4"/>
  <c r="M12" i="4" s="1"/>
  <c r="N10" i="4"/>
  <c r="N12" i="4" s="1"/>
  <c r="O48" i="4"/>
  <c r="O43" i="4"/>
  <c r="O20" i="4"/>
  <c r="O34" i="4" s="1"/>
  <c r="O10" i="4"/>
  <c r="O12" i="4" s="1"/>
  <c r="K26" i="4" l="1"/>
  <c r="K23" i="4"/>
  <c r="K21" i="4"/>
  <c r="F21" i="4"/>
  <c r="F23" i="4"/>
  <c r="I34" i="4"/>
  <c r="J34" i="4"/>
  <c r="H34" i="4"/>
  <c r="F48" i="4"/>
  <c r="F20" i="4"/>
  <c r="F43" i="4"/>
  <c r="F10" i="4"/>
  <c r="F12" i="4" s="1"/>
  <c r="B63" i="3"/>
  <c r="C63" i="3"/>
  <c r="D63" i="3"/>
  <c r="G63" i="3"/>
  <c r="H63" i="3"/>
  <c r="I63" i="3"/>
  <c r="J63" i="3"/>
  <c r="L63" i="3"/>
  <c r="M63" i="3"/>
  <c r="N63" i="3"/>
  <c r="O63" i="3"/>
  <c r="B62" i="3"/>
  <c r="C62" i="3"/>
  <c r="D62" i="3"/>
  <c r="G62" i="3"/>
  <c r="H62" i="3"/>
  <c r="I62" i="3"/>
  <c r="J62" i="3"/>
  <c r="L62" i="3"/>
  <c r="M62" i="3"/>
  <c r="N62" i="3"/>
  <c r="O62" i="3"/>
  <c r="B61" i="3"/>
  <c r="C61" i="3"/>
  <c r="D61" i="3"/>
  <c r="G61" i="3"/>
  <c r="H61" i="3"/>
  <c r="I61" i="3"/>
  <c r="J61" i="3"/>
  <c r="L61" i="3"/>
  <c r="M61" i="3"/>
  <c r="N61" i="3"/>
  <c r="M55" i="3"/>
  <c r="N55" i="3"/>
  <c r="O55" i="3"/>
  <c r="L55" i="3"/>
  <c r="H55" i="3"/>
  <c r="I55" i="3"/>
  <c r="J55" i="3"/>
  <c r="K55" i="3" s="1"/>
  <c r="G55" i="3"/>
  <c r="C55" i="3"/>
  <c r="D55" i="3"/>
  <c r="E55" i="3"/>
  <c r="F55" i="3" s="1"/>
  <c r="B55" i="3"/>
  <c r="L44" i="3"/>
  <c r="P63" i="3"/>
  <c r="P62" i="3"/>
  <c r="P61" i="3"/>
  <c r="J43" i="3"/>
  <c r="K43" i="3" s="1"/>
  <c r="J31" i="3"/>
  <c r="K31" i="3" s="1"/>
  <c r="K19" i="3"/>
  <c r="K63" i="3"/>
  <c r="K62" i="3"/>
  <c r="K61" i="3"/>
  <c r="P55" i="3" l="1"/>
  <c r="O57" i="3"/>
  <c r="G34" i="4"/>
  <c r="K22" i="4"/>
  <c r="K34" i="4" s="1"/>
  <c r="F22" i="4"/>
  <c r="F19" i="3"/>
  <c r="P44" i="3"/>
  <c r="K44" i="3"/>
  <c r="K32" i="3"/>
  <c r="B26" i="4"/>
  <c r="C26" i="4"/>
  <c r="C34" i="4" s="1"/>
  <c r="D26" i="4"/>
  <c r="D34" i="4" s="1"/>
  <c r="E26" i="4"/>
  <c r="B10" i="1"/>
  <c r="C10" i="1"/>
  <c r="D10" i="1"/>
  <c r="E10" i="1"/>
  <c r="F10" i="1" l="1"/>
  <c r="B34" i="4"/>
  <c r="F26" i="4"/>
  <c r="F34" i="4" s="1"/>
  <c r="E34" i="4"/>
  <c r="E43" i="3"/>
  <c r="E35" i="3"/>
  <c r="F35" i="3" s="1"/>
  <c r="E27" i="3"/>
  <c r="F27" i="3" s="1"/>
  <c r="E26" i="3"/>
  <c r="F26" i="3" s="1"/>
  <c r="E25" i="3"/>
  <c r="E61" i="3" s="1"/>
  <c r="E18" i="3"/>
  <c r="F18" i="3" s="1"/>
  <c r="E16" i="3"/>
  <c r="F16" i="3" s="1"/>
  <c r="E13" i="3"/>
  <c r="F13" i="3" s="1"/>
  <c r="E10" i="3"/>
  <c r="F10" i="3" s="1"/>
  <c r="E9" i="3"/>
  <c r="F9" i="3" s="1"/>
  <c r="D43" i="3"/>
  <c r="D44" i="3" s="1"/>
  <c r="C32" i="3"/>
  <c r="B43" i="3"/>
  <c r="O22" i="3"/>
  <c r="J44" i="3"/>
  <c r="J32" i="3"/>
  <c r="L32" i="3"/>
  <c r="M44" i="3"/>
  <c r="M32" i="3"/>
  <c r="N44" i="3"/>
  <c r="N32" i="3"/>
  <c r="O44" i="3"/>
  <c r="O32" i="3"/>
  <c r="D32" i="3"/>
  <c r="G44" i="3"/>
  <c r="G32" i="3"/>
  <c r="H44" i="3"/>
  <c r="H32" i="3"/>
  <c r="I44" i="3"/>
  <c r="I32" i="3"/>
  <c r="B41" i="2"/>
  <c r="B34" i="2"/>
  <c r="B20" i="2"/>
  <c r="C41" i="2"/>
  <c r="C29" i="2"/>
  <c r="C34" i="2" s="1"/>
  <c r="C20" i="2"/>
  <c r="D41" i="2"/>
  <c r="D29" i="2"/>
  <c r="D34" i="2" s="1"/>
  <c r="D20" i="2"/>
  <c r="E41" i="2"/>
  <c r="E29" i="2"/>
  <c r="E34" i="2" s="1"/>
  <c r="E20" i="2"/>
  <c r="F41" i="2"/>
  <c r="F29" i="2"/>
  <c r="F34" i="2" s="1"/>
  <c r="F20" i="2"/>
  <c r="G41" i="2"/>
  <c r="G29" i="2"/>
  <c r="G34" i="2" s="1"/>
  <c r="G20" i="2"/>
  <c r="H41" i="2"/>
  <c r="H29" i="2"/>
  <c r="H34" i="2" s="1"/>
  <c r="H20" i="2"/>
  <c r="I41" i="2"/>
  <c r="I29" i="2"/>
  <c r="I34" i="2" s="1"/>
  <c r="I20" i="2"/>
  <c r="J41" i="2"/>
  <c r="J29" i="2"/>
  <c r="J34" i="2" s="1"/>
  <c r="J20" i="2"/>
  <c r="K41" i="2"/>
  <c r="K29" i="2"/>
  <c r="K34" i="2" s="1"/>
  <c r="K20" i="2"/>
  <c r="O60" i="3" l="1"/>
  <c r="O64" i="3" s="1"/>
  <c r="B32" i="3"/>
  <c r="F31" i="3"/>
  <c r="B44" i="3"/>
  <c r="F25" i="3"/>
  <c r="F61" i="3" s="1"/>
  <c r="F63" i="3"/>
  <c r="E63" i="3"/>
  <c r="C43" i="3"/>
  <c r="C44" i="3" s="1"/>
  <c r="F62" i="3"/>
  <c r="E62" i="3"/>
  <c r="E44" i="3"/>
  <c r="E32" i="3"/>
  <c r="O45" i="3"/>
  <c r="F42" i="2"/>
  <c r="E42" i="2"/>
  <c r="I42" i="2"/>
  <c r="C42" i="2"/>
  <c r="B42" i="2"/>
  <c r="G42" i="2"/>
  <c r="J42" i="2"/>
  <c r="D42" i="2"/>
  <c r="H42" i="2"/>
  <c r="K42" i="2"/>
  <c r="F43" i="3" l="1"/>
  <c r="F44" i="3" s="1"/>
  <c r="F32" i="3"/>
  <c r="B49" i="1" l="1"/>
  <c r="C49" i="1"/>
  <c r="F58" i="1" s="1"/>
  <c r="D49" i="1"/>
  <c r="E49" i="1"/>
  <c r="G49" i="1"/>
  <c r="H49" i="1"/>
  <c r="I49" i="1"/>
  <c r="J49" i="1"/>
  <c r="L49" i="1"/>
  <c r="M49" i="1"/>
  <c r="N49" i="1"/>
  <c r="O49" i="1"/>
  <c r="J47" i="1"/>
  <c r="J62" i="1" s="1"/>
  <c r="I47" i="1"/>
  <c r="I62" i="1" s="1"/>
  <c r="H47" i="1"/>
  <c r="G47" i="1"/>
  <c r="B47" i="1"/>
  <c r="C47" i="1"/>
  <c r="D47" i="1"/>
  <c r="E47" i="1"/>
  <c r="L47" i="1"/>
  <c r="L62" i="1" s="1"/>
  <c r="M47" i="1"/>
  <c r="M62" i="1" s="1"/>
  <c r="N47" i="1"/>
  <c r="N62" i="1" s="1"/>
  <c r="O47" i="1"/>
  <c r="G48" i="1"/>
  <c r="K48" i="1" s="1"/>
  <c r="E43" i="1"/>
  <c r="F43" i="1" s="1"/>
  <c r="G43" i="1"/>
  <c r="H43" i="1"/>
  <c r="I43" i="1"/>
  <c r="J43" i="1"/>
  <c r="L43" i="1"/>
  <c r="M43" i="1"/>
  <c r="N43" i="1"/>
  <c r="O43" i="1"/>
  <c r="B38" i="1"/>
  <c r="C38" i="1"/>
  <c r="D38" i="1"/>
  <c r="E38" i="1"/>
  <c r="G38" i="1"/>
  <c r="H38" i="1"/>
  <c r="I38" i="1"/>
  <c r="J38" i="1"/>
  <c r="L38" i="1"/>
  <c r="M38" i="1"/>
  <c r="N38" i="1"/>
  <c r="O38" i="1"/>
  <c r="O37" i="1"/>
  <c r="N37" i="1"/>
  <c r="M37" i="1"/>
  <c r="L37" i="1"/>
  <c r="J37" i="1"/>
  <c r="I37" i="1"/>
  <c r="H37" i="1"/>
  <c r="G37" i="1"/>
  <c r="E37" i="1"/>
  <c r="D37" i="1"/>
  <c r="C37" i="1"/>
  <c r="B37" i="1"/>
  <c r="F37" i="1" l="1"/>
  <c r="K37" i="1"/>
  <c r="P38" i="1"/>
  <c r="P43" i="1"/>
  <c r="F47" i="1"/>
  <c r="P49" i="1"/>
  <c r="K49" i="1"/>
  <c r="F49" i="1"/>
  <c r="K47" i="1"/>
  <c r="P37" i="1"/>
  <c r="K38" i="1"/>
  <c r="F38" i="1"/>
  <c r="K43" i="1"/>
  <c r="K62" i="1"/>
  <c r="O62" i="1"/>
  <c r="P62" i="1" s="1"/>
  <c r="P47" i="1"/>
  <c r="L41" i="2"/>
  <c r="L29" i="2"/>
  <c r="L34" i="2" s="1"/>
  <c r="L20" i="2"/>
  <c r="L42" i="2" l="1"/>
  <c r="B16" i="1" l="1"/>
  <c r="C16" i="1"/>
  <c r="C17" i="1" s="1"/>
  <c r="C22" i="1" s="1"/>
  <c r="D16" i="1"/>
  <c r="D17" i="1" s="1"/>
  <c r="D22" i="1" s="1"/>
  <c r="E16" i="1"/>
  <c r="E17" i="1" s="1"/>
  <c r="E22" i="1" s="1"/>
  <c r="F16" i="1"/>
  <c r="F17" i="1" s="1"/>
  <c r="F22" i="1" s="1"/>
  <c r="G16" i="1"/>
  <c r="G17" i="1" s="1"/>
  <c r="G22" i="1" s="1"/>
  <c r="H16" i="1"/>
  <c r="H17" i="1" s="1"/>
  <c r="H22" i="1" s="1"/>
  <c r="I16" i="1"/>
  <c r="I17" i="1" s="1"/>
  <c r="I22" i="1" s="1"/>
  <c r="J16" i="1"/>
  <c r="J17" i="1" s="1"/>
  <c r="J22" i="1" s="1"/>
  <c r="L16" i="1"/>
  <c r="L17" i="1" s="1"/>
  <c r="L22" i="1" s="1"/>
  <c r="M16" i="1"/>
  <c r="M17" i="1" s="1"/>
  <c r="M22" i="1" s="1"/>
  <c r="N16" i="1"/>
  <c r="N17" i="1" s="1"/>
  <c r="N22" i="1" s="1"/>
  <c r="O16" i="1"/>
  <c r="O17" i="1" s="1"/>
  <c r="O22" i="1" s="1"/>
  <c r="M41" i="2"/>
  <c r="M29" i="2"/>
  <c r="M34" i="2" s="1"/>
  <c r="M20" i="2"/>
  <c r="M24" i="1" l="1"/>
  <c r="G24" i="1"/>
  <c r="J24" i="1"/>
  <c r="C24" i="1"/>
  <c r="N24" i="1"/>
  <c r="L24" i="1"/>
  <c r="I24" i="1"/>
  <c r="H24" i="1"/>
  <c r="D24" i="1"/>
  <c r="O24" i="1"/>
  <c r="B17" i="1"/>
  <c r="B22" i="1" s="1"/>
  <c r="E24" i="1"/>
  <c r="E54" i="1" s="1"/>
  <c r="F24" i="1"/>
  <c r="M42" i="2"/>
  <c r="H36" i="1" l="1"/>
  <c r="H51" i="1" s="1"/>
  <c r="H7" i="3"/>
  <c r="H22" i="3" s="1"/>
  <c r="H60" i="3" s="1"/>
  <c r="H64" i="3" s="1"/>
  <c r="H54" i="1"/>
  <c r="H65" i="1" s="1"/>
  <c r="O36" i="1"/>
  <c r="O51" i="1" s="1"/>
  <c r="O54" i="1"/>
  <c r="O65" i="1" s="1"/>
  <c r="C54" i="1"/>
  <c r="C65" i="1" s="1"/>
  <c r="C36" i="1"/>
  <c r="C51" i="1" s="1"/>
  <c r="C7" i="3"/>
  <c r="C22" i="3" s="1"/>
  <c r="D54" i="1"/>
  <c r="D65" i="1" s="1"/>
  <c r="D7" i="3"/>
  <c r="D22" i="3" s="1"/>
  <c r="D36" i="1"/>
  <c r="D51" i="1" s="1"/>
  <c r="I54" i="1"/>
  <c r="I65" i="1" s="1"/>
  <c r="I7" i="3"/>
  <c r="I22" i="3" s="1"/>
  <c r="I45" i="3" s="1"/>
  <c r="I36" i="1"/>
  <c r="I51" i="1" s="1"/>
  <c r="L36" i="1"/>
  <c r="L51" i="1" s="1"/>
  <c r="L54" i="1"/>
  <c r="L65" i="1" s="1"/>
  <c r="L7" i="3"/>
  <c r="N54" i="1"/>
  <c r="N65" i="1" s="1"/>
  <c r="N7" i="3"/>
  <c r="N36" i="1"/>
  <c r="N51" i="1" s="1"/>
  <c r="J54" i="1"/>
  <c r="J36" i="1"/>
  <c r="J51" i="1" s="1"/>
  <c r="J7" i="3"/>
  <c r="J22" i="3" s="1"/>
  <c r="G54" i="1"/>
  <c r="G65" i="1" s="1"/>
  <c r="G7" i="3"/>
  <c r="G36" i="1"/>
  <c r="G51" i="1" s="1"/>
  <c r="M36" i="1"/>
  <c r="M51" i="1" s="1"/>
  <c r="M54" i="1"/>
  <c r="M65" i="1" s="1"/>
  <c r="M7" i="3"/>
  <c r="M22" i="3" s="1"/>
  <c r="B24" i="1"/>
  <c r="G22" i="3"/>
  <c r="L22" i="3"/>
  <c r="E65" i="1"/>
  <c r="E36" i="1"/>
  <c r="E51" i="1" s="1"/>
  <c r="E7" i="3"/>
  <c r="I60" i="3" l="1"/>
  <c r="I64" i="3" s="1"/>
  <c r="P7" i="3"/>
  <c r="P22" i="3" s="1"/>
  <c r="P45" i="3" s="1"/>
  <c r="C60" i="3"/>
  <c r="C64" i="3" s="1"/>
  <c r="G60" i="3"/>
  <c r="G64" i="3" s="1"/>
  <c r="H45" i="3"/>
  <c r="D60" i="3"/>
  <c r="D64" i="3" s="1"/>
  <c r="L60" i="3"/>
  <c r="L64" i="3" s="1"/>
  <c r="M60" i="3"/>
  <c r="M64" i="3" s="1"/>
  <c r="C45" i="3"/>
  <c r="M45" i="3"/>
  <c r="K36" i="1"/>
  <c r="K51" i="1" s="1"/>
  <c r="N22" i="3"/>
  <c r="N60" i="3" s="1"/>
  <c r="N64" i="3" s="1"/>
  <c r="B54" i="1"/>
  <c r="B36" i="1"/>
  <c r="B51" i="1" s="1"/>
  <c r="B7" i="3"/>
  <c r="B22" i="3" s="1"/>
  <c r="K54" i="1"/>
  <c r="K65" i="1" s="1"/>
  <c r="K7" i="3"/>
  <c r="K22" i="3" s="1"/>
  <c r="D45" i="3"/>
  <c r="P36" i="1"/>
  <c r="P51" i="1" s="1"/>
  <c r="J65" i="1"/>
  <c r="P54" i="1"/>
  <c r="P65" i="1" s="1"/>
  <c r="L45" i="3"/>
  <c r="G45" i="3"/>
  <c r="J60" i="3"/>
  <c r="J64" i="3" s="1"/>
  <c r="J45" i="3"/>
  <c r="B57" i="3"/>
  <c r="E22" i="3"/>
  <c r="P60" i="3" l="1"/>
  <c r="P64" i="3" s="1"/>
  <c r="N45" i="3"/>
  <c r="E60" i="3"/>
  <c r="E64" i="3" s="1"/>
  <c r="K45" i="3"/>
  <c r="B60" i="3"/>
  <c r="B64" i="3" s="1"/>
  <c r="K60" i="3"/>
  <c r="K64" i="3" s="1"/>
  <c r="F7" i="3"/>
  <c r="F22" i="3" s="1"/>
  <c r="B45" i="3"/>
  <c r="B47" i="3" s="1"/>
  <c r="C46" i="3" s="1"/>
  <c r="C47" i="3" s="1"/>
  <c r="D46" i="3" s="1"/>
  <c r="D47" i="3" s="1"/>
  <c r="D57" i="3" s="1"/>
  <c r="F36" i="1"/>
  <c r="F51" i="1" s="1"/>
  <c r="B65" i="1"/>
  <c r="F54" i="1"/>
  <c r="F65" i="1" s="1"/>
  <c r="F57" i="3"/>
  <c r="C57" i="3"/>
  <c r="E45" i="3"/>
  <c r="F45" i="3" l="1"/>
  <c r="F47" i="3" s="1"/>
  <c r="G46" i="3" s="1"/>
  <c r="K46" i="3" s="1"/>
  <c r="K47" i="3" s="1"/>
  <c r="F60" i="3"/>
  <c r="F64" i="3" s="1"/>
  <c r="E46" i="3"/>
  <c r="E47" i="3" s="1"/>
  <c r="E57" i="3" s="1"/>
  <c r="G47" i="3" l="1"/>
  <c r="H46" i="3" s="1"/>
  <c r="H47" i="3" s="1"/>
  <c r="K57" i="3"/>
  <c r="L46" i="3"/>
  <c r="P46" i="3" s="1"/>
  <c r="G57" i="3"/>
  <c r="P47" i="3" l="1"/>
  <c r="Q46" i="3" s="1"/>
  <c r="U46" i="3" s="1"/>
  <c r="U47" i="3" s="1"/>
  <c r="V46" i="3" s="1"/>
  <c r="V47" i="3" s="1"/>
  <c r="W46" i="3" s="1"/>
  <c r="W47" i="3" s="1"/>
  <c r="L47" i="3"/>
  <c r="I46" i="3"/>
  <c r="I47" i="3" s="1"/>
  <c r="H57" i="3"/>
  <c r="P57" i="3" l="1"/>
  <c r="Q47" i="3"/>
  <c r="R46" i="3" s="1"/>
  <c r="R47" i="3" s="1"/>
  <c r="S46" i="3" s="1"/>
  <c r="S47" i="3" s="1"/>
  <c r="T46" i="3" s="1"/>
  <c r="T47" i="3" s="1"/>
  <c r="L57" i="3"/>
  <c r="M46" i="3"/>
  <c r="M47" i="3" s="1"/>
  <c r="J46" i="3"/>
  <c r="J47" i="3" s="1"/>
  <c r="J57" i="3" s="1"/>
  <c r="I57" i="3"/>
  <c r="M57" i="3" l="1"/>
  <c r="N46" i="3"/>
  <c r="N47" i="3" s="1"/>
  <c r="N57" i="3" l="1"/>
  <c r="O46" i="3"/>
  <c r="O47" i="3" s="1"/>
</calcChain>
</file>

<file path=xl/sharedStrings.xml><?xml version="1.0" encoding="utf-8"?>
<sst xmlns="http://schemas.openxmlformats.org/spreadsheetml/2006/main" count="296" uniqueCount="194">
  <si>
    <t>Revenues</t>
  </si>
  <si>
    <t>Costs and expenses:</t>
  </si>
  <si>
    <t>Cost of goods sold</t>
  </si>
  <si>
    <t>Selling, general and administrative expenses</t>
  </si>
  <si>
    <t>Deltic merger-related costs</t>
  </si>
  <si>
    <t>Environmental charges for Avery Landing</t>
  </si>
  <si>
    <t>Loss on sale of central Idaho timber and timberlands</t>
  </si>
  <si>
    <t>Interest expense, net</t>
  </si>
  <si>
    <t>Non-operating pension and other postretirement employee benefit costs</t>
  </si>
  <si>
    <t>Income tax (provision) benefit</t>
  </si>
  <si>
    <t>Net income</t>
  </si>
  <si>
    <t>Net income per share:</t>
  </si>
  <si>
    <t>Basic</t>
  </si>
  <si>
    <t>Diluted</t>
  </si>
  <si>
    <t>Dividends per share</t>
  </si>
  <si>
    <t>Weighted-average shares outstanding (in thousands)</t>
  </si>
  <si>
    <t xml:space="preserve"> </t>
  </si>
  <si>
    <t>ASSETS</t>
  </si>
  <si>
    <t>Current assets:</t>
  </si>
  <si>
    <t>Cash and cash equivalents</t>
  </si>
  <si>
    <t>Other current assets</t>
  </si>
  <si>
    <t>Total current assets</t>
  </si>
  <si>
    <t>Property, plant and equipment, net</t>
  </si>
  <si>
    <t>Investment in real estate held for development and sale</t>
  </si>
  <si>
    <t>Timber and timberlands, net</t>
  </si>
  <si>
    <t>Deferred tax assets, net</t>
  </si>
  <si>
    <t>Other long-term assets</t>
  </si>
  <si>
    <t>Total assets</t>
  </si>
  <si>
    <t>LIABILITIES AND STOCKHOLDERS’ EQUITY</t>
  </si>
  <si>
    <t>Current liabilities:</t>
  </si>
  <si>
    <t>Accounts payable and accrued liabilities</t>
  </si>
  <si>
    <t>Current portion of long-term debt</t>
  </si>
  <si>
    <t>Current portion of pension and other postretirement employee benefits</t>
  </si>
  <si>
    <t>Total current liabilities</t>
  </si>
  <si>
    <t>Long-term debt</t>
  </si>
  <si>
    <t>Pension and other postretirement employee benefits</t>
  </si>
  <si>
    <t>Other long-term obligations</t>
  </si>
  <si>
    <t>Total liabilities</t>
  </si>
  <si>
    <t>Commitments and contingencies</t>
  </si>
  <si>
    <t>Stockholders’ equity:</t>
  </si>
  <si>
    <t>Additional paid-in capital</t>
  </si>
  <si>
    <t>Accumulated other comprehensive loss</t>
  </si>
  <si>
    <t>Total stockholders’ equity</t>
  </si>
  <si>
    <t>Total liabilities and stockholders' equity</t>
  </si>
  <si>
    <t>CASH FLOWS FROM OPERATING ACTIVITIES</t>
  </si>
  <si>
    <t>Depreciation, depletion and amortization</t>
  </si>
  <si>
    <t>Basis of real estate sold</t>
  </si>
  <si>
    <t>Change in deferred taxes</t>
  </si>
  <si>
    <t>Equity-based compensation expense</t>
  </si>
  <si>
    <t>Other, net</t>
  </si>
  <si>
    <t>Net cash from operating activities</t>
  </si>
  <si>
    <t>CASH FLOWS FROM INVESTING ACTIVITIES</t>
  </si>
  <si>
    <t>Timberlands reforestation and roads</t>
  </si>
  <si>
    <t>Acquisition of timber and timberlands</t>
  </si>
  <si>
    <t>Net proceeds from sale of central Idaho timber and timberlands</t>
  </si>
  <si>
    <t>CASH FLOWS FROM FINANCING ACTIVITIES</t>
  </si>
  <si>
    <t>Repurchase of common stock</t>
  </si>
  <si>
    <t>Repayment of long-term debt</t>
  </si>
  <si>
    <t>Proceeds from issuance of long-term debt</t>
  </si>
  <si>
    <t>Change in cash, cash equivalents and restricted cash</t>
  </si>
  <si>
    <t>Cash, cash equivalents and restricted cash at beginning of period</t>
  </si>
  <si>
    <t>SUPPLEMENTAL CASH FLOW INFORMATION</t>
  </si>
  <si>
    <t>Cash paid (received) during the year for:</t>
  </si>
  <si>
    <t>Interest, net of amounts capitalized</t>
  </si>
  <si>
    <t>Income taxes, net</t>
  </si>
  <si>
    <t xml:space="preserve">Total cash, cash equivalents, and restricted cash </t>
  </si>
  <si>
    <t>Q1 2016</t>
  </si>
  <si>
    <t>Q2 2016</t>
  </si>
  <si>
    <t>Q3 2016</t>
  </si>
  <si>
    <t>Q4 2016</t>
  </si>
  <si>
    <t>Q4 2018</t>
  </si>
  <si>
    <t>Q3 2018</t>
  </si>
  <si>
    <t>Q2 2018</t>
  </si>
  <si>
    <t>Q1 2018</t>
  </si>
  <si>
    <t>Q4 2017</t>
  </si>
  <si>
    <t>Q3 2017</t>
  </si>
  <si>
    <t>Q2 2017</t>
  </si>
  <si>
    <t>Q1 2017</t>
  </si>
  <si>
    <t>PotlatchDeltic Corporation</t>
  </si>
  <si>
    <t>Revenues:</t>
  </si>
  <si>
    <t>Wood Products</t>
  </si>
  <si>
    <t>Real Estate</t>
  </si>
  <si>
    <t>Total consolidated revenues</t>
  </si>
  <si>
    <t>Adjusted EBITDDA:</t>
  </si>
  <si>
    <t>Corporate</t>
  </si>
  <si>
    <t>Eliminations and adjustments</t>
  </si>
  <si>
    <t>Total Adjusted EBITDDA</t>
  </si>
  <si>
    <t>Non-operating pension and other postretirement employee benefits</t>
  </si>
  <si>
    <t>Depreciation, depletion and amortization:</t>
  </si>
  <si>
    <t>Bond discount and deferred loan fees</t>
  </si>
  <si>
    <t>Total depreciation, depletion and amortization</t>
  </si>
  <si>
    <t>Basis of real estate sold:</t>
  </si>
  <si>
    <t>Elimination and adjustments</t>
  </si>
  <si>
    <t>Total basis of real estate sold</t>
  </si>
  <si>
    <t xml:space="preserve">   </t>
  </si>
  <si>
    <t>Interest, net</t>
  </si>
  <si>
    <t xml:space="preserve">Income tax </t>
  </si>
  <si>
    <t>Non-operating pension and other postretirement benefit costs</t>
  </si>
  <si>
    <t>Lumber price swap</t>
  </si>
  <si>
    <t>Inventory purchase price adjustment in cost of goods sold</t>
  </si>
  <si>
    <t>Common stock, $1 par value</t>
  </si>
  <si>
    <t>Consolidated Balance Sheets</t>
  </si>
  <si>
    <t>Deferred tax liabilities, net</t>
  </si>
  <si>
    <t>Change in working capital, net</t>
  </si>
  <si>
    <t>Real estate development expenditures</t>
  </si>
  <si>
    <t xml:space="preserve">  </t>
  </si>
  <si>
    <t>Proceeds from Potlatch revolving line of credit</t>
  </si>
  <si>
    <t>Repayment of Potlatch revolving line of credit</t>
  </si>
  <si>
    <t>Cash and cash equivalents acquired in Deltic merger</t>
  </si>
  <si>
    <t>CASH AVAILABLE FOR DISTRIBUTION (CAD)</t>
  </si>
  <si>
    <t>RECONCILIATION OF CASH, CASH EQUIVALENTS, AND RESTRICTED CASH</t>
  </si>
  <si>
    <t>Segment Information</t>
  </si>
  <si>
    <t>Gain (loss) on fixed assets</t>
  </si>
  <si>
    <t>Gain (loss) on lumber price swap</t>
  </si>
  <si>
    <t>Adjusted net income</t>
  </si>
  <si>
    <t>Trended Financial Information</t>
  </si>
  <si>
    <t>Impact of tax legislation</t>
  </si>
  <si>
    <t>Inventory purchase price adjustment in cost of goods sold, after tax</t>
  </si>
  <si>
    <t>Lumber price swap, after tax</t>
  </si>
  <si>
    <t>Liabilities held for sale</t>
  </si>
  <si>
    <t>Assets held for sale</t>
  </si>
  <si>
    <t>Income tax benefit on sale of central Idaho timber and timberlands</t>
  </si>
  <si>
    <t>Environmental charge for Avery Landing, after tax</t>
  </si>
  <si>
    <t>Accounting Standards Updates</t>
  </si>
  <si>
    <t>Non-GAAP Measures</t>
  </si>
  <si>
    <t>Distributions to common stockholders</t>
  </si>
  <si>
    <r>
      <t>Special distribution per share</t>
    </r>
    <r>
      <rPr>
        <vertAlign val="superscript"/>
        <sz val="10"/>
        <color rgb="FF595959"/>
        <rFont val="Arial"/>
        <family val="2"/>
      </rPr>
      <t>1</t>
    </r>
  </si>
  <si>
    <r>
      <rPr>
        <vertAlign val="superscript"/>
        <sz val="9"/>
        <color rgb="FF595959"/>
        <rFont val="Arial"/>
        <family val="2"/>
      </rPr>
      <t>1</t>
    </r>
    <r>
      <rPr>
        <sz val="9"/>
        <color rgb="FF595959"/>
        <rFont val="Arial"/>
        <family val="2"/>
      </rPr>
      <t>Deltic earnings and profits distribution of $222 million, paid on November 15, 2018.</t>
    </r>
  </si>
  <si>
    <r>
      <t>Accumulated deficit</t>
    </r>
    <r>
      <rPr>
        <vertAlign val="superscript"/>
        <sz val="10"/>
        <color rgb="FF595959"/>
        <rFont val="Arial"/>
        <family val="2"/>
      </rPr>
      <t>1</t>
    </r>
  </si>
  <si>
    <r>
      <rPr>
        <vertAlign val="superscript"/>
        <sz val="9"/>
        <color rgb="FF595959"/>
        <rFont val="Arial"/>
        <family val="2"/>
      </rPr>
      <t>1</t>
    </r>
    <r>
      <rPr>
        <sz val="9"/>
        <color rgb="FF595959"/>
        <rFont val="Arial"/>
        <family val="2"/>
      </rPr>
      <t xml:space="preserve">A special distribution of $222 million was paid on November 15, 2018. The special distribution represents the accumulated earnings and profits of Deltic Timber Corporation as of February 20, 2018, the date Deltic merged into a wholly-owned subsidiary of PotlatchDeltic. $44.4 million of the special distribution was paid in cash, while the remaining balance was paid in shares of PotlatchDeltic's common stock. </t>
    </r>
  </si>
  <si>
    <t xml:space="preserve">This file contains certain non-GAAP financial measures, which management believes are useful to investors, securities analysts and other interested parties. These non-GAAP measures should be considered only as supplemental to, and not superior to, financial measures prepared in accordance with GAAP.  Reconciliations to GAAP are included herein. </t>
  </si>
  <si>
    <r>
      <rPr>
        <vertAlign val="superscript"/>
        <sz val="9"/>
        <color rgb="FF595959"/>
        <rFont val="Arial"/>
        <family val="2"/>
      </rPr>
      <t>4</t>
    </r>
    <r>
      <rPr>
        <sz val="9"/>
        <color rgb="FF595959"/>
        <rFont val="Arial"/>
        <family val="2"/>
      </rPr>
      <t xml:space="preserve">During the third quarter of 2018, we recorded a tax benefit primarily related to deducting contributions to our qualified pension plans at the higher 2017 income tax rate. </t>
    </r>
  </si>
  <si>
    <r>
      <t>Tax adjustments</t>
    </r>
    <r>
      <rPr>
        <vertAlign val="superscript"/>
        <sz val="10"/>
        <color rgb="FF595959"/>
        <rFont val="Arial"/>
        <family val="2"/>
      </rPr>
      <t>4</t>
    </r>
  </si>
  <si>
    <r>
      <rPr>
        <vertAlign val="superscript"/>
        <sz val="9"/>
        <color rgb="FF595959"/>
        <rFont val="Arial"/>
        <family val="2"/>
      </rPr>
      <t>2</t>
    </r>
    <r>
      <rPr>
        <sz val="9"/>
        <color rgb="FF595959"/>
        <rFont val="Arial"/>
        <family val="2"/>
      </rPr>
      <t xml:space="preserve">Total Adjusted EBITDDA is a non-GAAP measure. </t>
    </r>
  </si>
  <si>
    <r>
      <rPr>
        <vertAlign val="superscript"/>
        <sz val="9"/>
        <color rgb="FF595959"/>
        <rFont val="Arial"/>
        <family val="2"/>
      </rPr>
      <t>3</t>
    </r>
    <r>
      <rPr>
        <sz val="9"/>
        <color rgb="FF595959"/>
        <rFont val="Arial"/>
        <family val="2"/>
      </rPr>
      <t xml:space="preserve">Adjusted net income is a non-GAAP measure. </t>
    </r>
  </si>
  <si>
    <r>
      <t>Reconciliation of net income to adjusted net income</t>
    </r>
    <r>
      <rPr>
        <vertAlign val="superscript"/>
        <sz val="10"/>
        <color rgb="FF595959"/>
        <rFont val="Arial"/>
        <family val="2"/>
      </rPr>
      <t>3</t>
    </r>
    <r>
      <rPr>
        <sz val="10"/>
        <color rgb="FF595959"/>
        <rFont val="Arial"/>
        <family val="2"/>
      </rPr>
      <t>:</t>
    </r>
  </si>
  <si>
    <t>Condensed Consolidated Statements of Cash Flows</t>
  </si>
  <si>
    <r>
      <t>Total Adjusted EBITDDA</t>
    </r>
    <r>
      <rPr>
        <vertAlign val="superscript"/>
        <sz val="10"/>
        <color rgb="FF595959"/>
        <rFont val="Arial"/>
        <family val="2"/>
      </rPr>
      <t>1</t>
    </r>
  </si>
  <si>
    <t>https://investors.potlatchdeltic.com/home/default.aspx</t>
  </si>
  <si>
    <t>Operating income (loss)</t>
  </si>
  <si>
    <t>Income (loss) before income taxes</t>
  </si>
  <si>
    <t>Net income (loss)</t>
  </si>
  <si>
    <r>
      <t>Reconciliation of net income (loss) to Total Adjusted EBITDDA</t>
    </r>
    <r>
      <rPr>
        <vertAlign val="superscript"/>
        <sz val="10"/>
        <color rgb="FF595959"/>
        <rFont val="Arial"/>
        <family val="2"/>
      </rPr>
      <t>2</t>
    </r>
    <r>
      <rPr>
        <sz val="10"/>
        <color rgb="FF595959"/>
        <rFont val="Arial"/>
        <family val="2"/>
      </rPr>
      <t>:</t>
    </r>
  </si>
  <si>
    <t>Customer receivables, net</t>
  </si>
  <si>
    <t>Intangible assets, net</t>
  </si>
  <si>
    <t>Adjustments to reconcile net income (loss) to net cash from operating activities:</t>
  </si>
  <si>
    <t>Net cash provided by operating activities</t>
  </si>
  <si>
    <t>Net cash (used in) provided by investing activities</t>
  </si>
  <si>
    <t>Net cash used in financing activities</t>
  </si>
  <si>
    <r>
      <rPr>
        <vertAlign val="superscript"/>
        <sz val="9"/>
        <color rgb="FF595959"/>
        <rFont val="Arial"/>
        <family val="2"/>
      </rPr>
      <t>1</t>
    </r>
    <r>
      <rPr>
        <sz val="9"/>
        <color rgb="FF595959"/>
        <rFont val="Arial"/>
        <family val="2"/>
      </rPr>
      <t>Total Adjusted EBITDDA is a non-GAAP measure. See the Consolidated Statements of Income for a reconciliation.</t>
    </r>
  </si>
  <si>
    <t>(Unaudited)</t>
  </si>
  <si>
    <t>(In thousands, except per share amounts)</t>
  </si>
  <si>
    <t>(In thousands)</t>
  </si>
  <si>
    <t>(Gain) loss on lumber price swap</t>
  </si>
  <si>
    <t>Loss on sale of central Idaho timber and timberlands, after tax</t>
  </si>
  <si>
    <t>Repayment of Deltic revolving line of credit</t>
  </si>
  <si>
    <t>Inventories, net</t>
  </si>
  <si>
    <t>This file contains select current and historical GAAP and non-GAAP financial content downloaded from our Investor Relations portal:</t>
  </si>
  <si>
    <t>Q1 2019</t>
  </si>
  <si>
    <t>Gain on sale of facility</t>
  </si>
  <si>
    <t>Loss on extinguishment of debt</t>
  </si>
  <si>
    <t>Loss on debt extinguishment</t>
  </si>
  <si>
    <t>Proceeds on sale of facility</t>
  </si>
  <si>
    <t>Premiums and fees on debt retirement</t>
  </si>
  <si>
    <r>
      <t xml:space="preserve">We adopted ASU No. 2016-02, </t>
    </r>
    <r>
      <rPr>
        <i/>
        <sz val="10"/>
        <color rgb="FF595959"/>
        <rFont val="Arial"/>
        <family val="2"/>
      </rPr>
      <t>Leases (Topic 842)</t>
    </r>
    <r>
      <rPr>
        <sz val="10"/>
        <color rgb="FF595959"/>
        <rFont val="Arial"/>
        <family val="2"/>
      </rPr>
      <t xml:space="preserve">, along with subsequent amendments, on January 1, 2019, and used the effective date as our date of initial application.  Upon adoption of this ASU, we recorded $14.0 million for right-of-use assets and lease liabilities for our operating leases on our Consolidated Balance Sheet.  The adoption of this ASU did not impact our Consolidated Statement of Income nor our Consolidated Statement of Cash Flows. </t>
    </r>
  </si>
  <si>
    <t>Funding of pension and other postretirement benefits</t>
  </si>
  <si>
    <t>Restricted cash included in other long-term and short-term assets</t>
  </si>
  <si>
    <t>(Gain) loss on fixed assets</t>
  </si>
  <si>
    <t>Cash, cash equivalents and restricted cash at end of period</t>
  </si>
  <si>
    <t>Net income per diluted share</t>
  </si>
  <si>
    <t>Adjusted net income per diluted share</t>
  </si>
  <si>
    <r>
      <t>Gain on sale of facility</t>
    </r>
    <r>
      <rPr>
        <vertAlign val="superscript"/>
        <sz val="10"/>
        <color rgb="FF595959"/>
        <rFont val="Arial"/>
        <family val="2"/>
      </rPr>
      <t>5</t>
    </r>
  </si>
  <si>
    <r>
      <t>Loss on extinguishment of debt</t>
    </r>
    <r>
      <rPr>
        <vertAlign val="superscript"/>
        <sz val="10"/>
        <color rgb="FF595959"/>
        <rFont val="Arial"/>
        <family val="2"/>
      </rPr>
      <t>6</t>
    </r>
  </si>
  <si>
    <r>
      <rPr>
        <vertAlign val="superscript"/>
        <sz val="9"/>
        <color rgb="FF595959"/>
        <rFont val="Arial"/>
        <family val="2"/>
      </rPr>
      <t>5</t>
    </r>
    <r>
      <rPr>
        <sz val="9"/>
        <color rgb="FF595959"/>
        <rFont val="Arial"/>
        <family val="2"/>
      </rPr>
      <t xml:space="preserve">During the first quarter of 2019, we sold our Deltic MDF Facility for $92.0 million, resulting in a $9.2 million pre-tax gain. </t>
    </r>
  </si>
  <si>
    <r>
      <rPr>
        <vertAlign val="superscript"/>
        <sz val="9"/>
        <color rgb="FF595959"/>
        <rFont val="Arial"/>
        <family val="2"/>
      </rPr>
      <t>6</t>
    </r>
    <r>
      <rPr>
        <sz val="9"/>
        <color rgb="FF595959"/>
        <rFont val="Arial"/>
        <family val="2"/>
      </rPr>
      <t xml:space="preserve">During the first quarter of 2019, we redeemed our $150.0 million Senior Notes. Upon redemption, we incurred a premium of $4.9 million and expensed certain unamortized debt costs.  The debt was refinanced with a $150.0 million term loan maturing 2029.  </t>
    </r>
  </si>
  <si>
    <t>Property, plant and equipment additions</t>
  </si>
  <si>
    <t>Q2 2019</t>
  </si>
  <si>
    <t>Timberlands</t>
  </si>
  <si>
    <t>Intersegment Timberland revenues</t>
  </si>
  <si>
    <t>Q3 2019</t>
  </si>
  <si>
    <t>Q4 2019</t>
  </si>
  <si>
    <r>
      <t>Gain on sale of facility, after tax</t>
    </r>
    <r>
      <rPr>
        <vertAlign val="superscript"/>
        <sz val="10"/>
        <color rgb="FF595959"/>
        <rFont val="Arial"/>
        <family val="2"/>
      </rPr>
      <t>5</t>
    </r>
  </si>
  <si>
    <t>Q1 2020</t>
  </si>
  <si>
    <t>Pension settlement charge</t>
  </si>
  <si>
    <t>Consolidated Statements of Operations</t>
  </si>
  <si>
    <r>
      <rPr>
        <vertAlign val="superscript"/>
        <sz val="10"/>
        <color rgb="FF595959"/>
        <rFont val="Arial"/>
        <family val="2"/>
      </rPr>
      <t>7</t>
    </r>
    <r>
      <rPr>
        <sz val="10"/>
        <color rgb="FF595959"/>
        <rFont val="Arial"/>
        <family val="2"/>
      </rPr>
      <t>During the first quarter of 2020, we recorded a $43.0 million settlement charge related to the transfer of $101.1 million of our outstanding pension benefit obligation related to our qualified pension plans to an insurance company.</t>
    </r>
  </si>
  <si>
    <r>
      <t>Pension settlement charge</t>
    </r>
    <r>
      <rPr>
        <vertAlign val="superscript"/>
        <sz val="10"/>
        <color rgb="FF595959"/>
        <rFont val="Arial"/>
        <family val="2"/>
      </rPr>
      <t>7</t>
    </r>
  </si>
  <si>
    <r>
      <t>Pension settlement charge, after tax</t>
    </r>
    <r>
      <rPr>
        <vertAlign val="superscript"/>
        <sz val="10"/>
        <color rgb="FF595959"/>
        <rFont val="Arial"/>
        <family val="2"/>
      </rPr>
      <t>7</t>
    </r>
  </si>
  <si>
    <t>Q2 2020</t>
  </si>
  <si>
    <t>Q3 2020</t>
  </si>
  <si>
    <r>
      <t>Distribution payable</t>
    </r>
    <r>
      <rPr>
        <vertAlign val="superscript"/>
        <sz val="10"/>
        <color rgb="FF595959"/>
        <rFont val="Arial"/>
        <family val="2"/>
      </rPr>
      <t>1</t>
    </r>
  </si>
  <si>
    <r>
      <t>CAD</t>
    </r>
    <r>
      <rPr>
        <vertAlign val="superscript"/>
        <sz val="10"/>
        <color rgb="FF595959"/>
        <rFont val="Arial"/>
        <family val="2"/>
      </rPr>
      <t>1</t>
    </r>
  </si>
  <si>
    <r>
      <rPr>
        <vertAlign val="superscript"/>
        <sz val="9"/>
        <color rgb="FF595959"/>
        <rFont val="Arial"/>
        <family val="2"/>
      </rPr>
      <t>1</t>
    </r>
    <r>
      <rPr>
        <sz val="9"/>
        <color rgb="FF595959"/>
        <rFont val="Arial"/>
        <family val="2"/>
      </rPr>
      <t xml:space="preserve">CAD is a non-GAAP measure and includes cash-basis Deltic merger-related costs of $19.7 million and $3.3 million for fiscal years 2018 and 2017, respectively. </t>
    </r>
  </si>
  <si>
    <t>Date of upload: November 2,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</si>
</sst>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quot;$&quot;* #,##0.000_);_(&quot;$&quot;* \(#,##0.000\);_(&quot;$&quot;* &quot;—&quot;_);_(@_)"/>
    <numFmt numFmtId="168" formatCode="_(&quot;$&quot;* #,##0_);_(&quot;$&quot;* \(#,##0\);_(&quot;$&quot;* &quot;-&quot;??_);_(@_)"/>
    <numFmt numFmtId="169" formatCode="_(* #,##0_);_(* \(#,##0\);_(* &quot;-&quot;??_);_(@_)"/>
    <numFmt numFmtId="170" formatCode="_(\ #,##0_);_(\ \(#,##0\);_(\ 0_);_(@_)"/>
    <numFmt numFmtId="171" formatCode="_(* #,##0_);_(* \(#,##0\);_(* &quot;—&quot;_);_(@_)"/>
    <numFmt numFmtId="172" formatCode="_(\ #,##0.00_);_(\ \(#,##0.00\);_(\ &quot;—&quot;_);_(@_)"/>
  </numFmts>
  <fonts count="17" x14ac:knownFonts="1">
    <font>
      <sz val="11"/>
      <color theme="1"/>
      <name val="Calibri"/>
      <family val="2"/>
      <scheme val="minor"/>
    </font>
    <font>
      <sz val="11"/>
      <color theme="1"/>
      <name val="Calibri"/>
      <family val="2"/>
      <scheme val="minor"/>
    </font>
    <font>
      <sz val="10"/>
      <color rgb="FF595959"/>
      <name val="Arial"/>
      <family val="2"/>
    </font>
    <font>
      <b/>
      <sz val="10"/>
      <color rgb="FF595959"/>
      <name val="Arial"/>
      <family val="2"/>
    </font>
    <font>
      <b/>
      <i/>
      <sz val="10"/>
      <color rgb="FF595959"/>
      <name val="Arial"/>
      <family val="2"/>
    </font>
    <font>
      <b/>
      <sz val="8"/>
      <color rgb="FF595959"/>
      <name val="Arial"/>
      <family val="2"/>
    </font>
    <font>
      <sz val="11"/>
      <color rgb="FF595959"/>
      <name val="Arial"/>
      <family val="2"/>
    </font>
    <font>
      <b/>
      <sz val="11"/>
      <color rgb="FF595959"/>
      <name val="Arial"/>
      <family val="2"/>
    </font>
    <font>
      <vertAlign val="superscript"/>
      <sz val="10"/>
      <color rgb="FF595959"/>
      <name val="Arial"/>
      <family val="2"/>
    </font>
    <font>
      <sz val="9"/>
      <color rgb="FF595959"/>
      <name val="Arial"/>
      <family val="2"/>
    </font>
    <font>
      <vertAlign val="superscript"/>
      <sz val="9"/>
      <color rgb="FF595959"/>
      <name val="Arial"/>
      <family val="2"/>
    </font>
    <font>
      <u/>
      <sz val="11"/>
      <color theme="10"/>
      <name val="Calibri"/>
      <family val="2"/>
      <scheme val="minor"/>
    </font>
    <font>
      <i/>
      <sz val="10"/>
      <color rgb="FF595959"/>
      <name val="Arial"/>
      <family val="2"/>
    </font>
    <font>
      <u/>
      <sz val="10"/>
      <color rgb="FF595959"/>
      <name val="Arial"/>
      <family val="2"/>
    </font>
    <font>
      <sz val="7"/>
      <color rgb="FF333333"/>
      <name val="Arial"/>
      <family val="2"/>
    </font>
    <font>
      <b/>
      <sz val="9"/>
      <color rgb="FF595959"/>
      <name val="Arial"/>
      <family val="2"/>
    </font>
    <font>
      <b/>
      <sz val="10"/>
      <color rgb="FFFF0000"/>
      <name val="Arial"/>
      <family val="2"/>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right/>
      <top/>
      <bottom style="thin">
        <color auto="1"/>
      </bottom>
      <diagonal/>
    </border>
    <border>
      <left/>
      <right/>
      <top style="thin">
        <color indexed="64"/>
      </top>
      <bottom style="thin">
        <color auto="1"/>
      </bottom>
      <diagonal/>
    </border>
    <border>
      <left/>
      <right/>
      <top style="thin">
        <color indexed="64"/>
      </top>
      <bottom/>
      <diagonal/>
    </border>
    <border>
      <left/>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cellStyleXfs>
  <cellXfs count="106">
    <xf numFmtId="0" fontId="0" fillId="0" borderId="0" xfId="0"/>
    <xf numFmtId="0" fontId="2" fillId="0" borderId="0" xfId="0" quotePrefix="1" applyNumberFormat="1" applyFont="1" applyFill="1" applyAlignment="1">
      <alignment horizontal="left" vertical="top"/>
    </xf>
    <xf numFmtId="0" fontId="2" fillId="0" borderId="0" xfId="0" applyFont="1"/>
    <xf numFmtId="0" fontId="2" fillId="0" borderId="0" xfId="0" applyFont="1" applyFill="1" applyAlignment="1">
      <alignment horizontal="right"/>
    </xf>
    <xf numFmtId="0" fontId="2" fillId="0" borderId="0" xfId="0" quotePrefix="1" applyNumberFormat="1" applyFont="1" applyFill="1" applyBorder="1" applyAlignment="1">
      <alignment horizontal="left" vertical="top" indent="2"/>
    </xf>
    <xf numFmtId="165" fontId="2" fillId="0" borderId="0" xfId="0" applyNumberFormat="1" applyFont="1" applyFill="1" applyAlignment="1">
      <alignment horizontal="right"/>
    </xf>
    <xf numFmtId="165" fontId="2" fillId="0" borderId="1" xfId="0" applyNumberFormat="1" applyFont="1" applyFill="1" applyBorder="1" applyAlignment="1">
      <alignment horizontal="right"/>
    </xf>
    <xf numFmtId="0" fontId="2" fillId="0" borderId="0" xfId="0" applyNumberFormat="1" applyFont="1" applyFill="1" applyBorder="1" applyAlignment="1">
      <alignment horizontal="left" vertical="top"/>
    </xf>
    <xf numFmtId="165" fontId="2" fillId="0" borderId="2" xfId="0" applyNumberFormat="1" applyFont="1" applyFill="1" applyBorder="1" applyAlignment="1">
      <alignment horizontal="right"/>
    </xf>
    <xf numFmtId="0" fontId="2" fillId="0" borderId="0" xfId="0" quotePrefix="1" applyNumberFormat="1" applyFont="1" applyFill="1" applyBorder="1" applyAlignment="1">
      <alignment horizontal="left" vertical="top"/>
    </xf>
    <xf numFmtId="165" fontId="2" fillId="0" borderId="3" xfId="0" applyNumberFormat="1" applyFont="1" applyFill="1" applyBorder="1" applyAlignment="1">
      <alignment horizontal="right"/>
    </xf>
    <xf numFmtId="165" fontId="2" fillId="0" borderId="0" xfId="0" applyNumberFormat="1" applyFont="1" applyFill="1" applyBorder="1" applyAlignment="1">
      <alignment horizontal="right"/>
    </xf>
    <xf numFmtId="164" fontId="2" fillId="0" borderId="4" xfId="0" applyNumberFormat="1" applyFont="1" applyFill="1" applyBorder="1" applyAlignment="1">
      <alignment horizontal="right"/>
    </xf>
    <xf numFmtId="164" fontId="2" fillId="0" borderId="0" xfId="0" applyNumberFormat="1" applyFont="1" applyFill="1" applyBorder="1" applyAlignment="1">
      <alignment horizontal="right"/>
    </xf>
    <xf numFmtId="0" fontId="2" fillId="0" borderId="0" xfId="0" quotePrefix="1" applyNumberFormat="1" applyFont="1" applyFill="1" applyAlignment="1">
      <alignment horizontal="left" vertical="top" indent="2"/>
    </xf>
    <xf numFmtId="166" fontId="2" fillId="0" borderId="0" xfId="0" applyNumberFormat="1" applyFont="1" applyFill="1" applyAlignment="1">
      <alignment horizontal="right"/>
    </xf>
    <xf numFmtId="167" fontId="2" fillId="0" borderId="0" xfId="0" applyNumberFormat="1" applyFont="1" applyFill="1" applyAlignment="1">
      <alignment horizontal="right"/>
    </xf>
    <xf numFmtId="0" fontId="3" fillId="0" borderId="0" xfId="0" applyNumberFormat="1" applyFont="1" applyAlignment="1">
      <alignment horizontal="center"/>
    </xf>
    <xf numFmtId="0" fontId="3" fillId="0" borderId="0" xfId="0" quotePrefix="1" applyNumberFormat="1" applyFont="1" applyBorder="1" applyAlignment="1"/>
    <xf numFmtId="0" fontId="3" fillId="0" borderId="0" xfId="0" applyNumberFormat="1" applyFont="1" applyAlignment="1">
      <alignment horizontal="center" wrapText="1"/>
    </xf>
    <xf numFmtId="0" fontId="2" fillId="0" borderId="0" xfId="0" applyNumberFormat="1" applyFont="1" applyAlignment="1">
      <alignment horizontal="left"/>
    </xf>
    <xf numFmtId="0" fontId="2" fillId="0" borderId="0" xfId="0" applyNumberFormat="1" applyFont="1" applyBorder="1" applyAlignment="1">
      <alignment horizontal="center"/>
    </xf>
    <xf numFmtId="0" fontId="2" fillId="0" borderId="0" xfId="0" applyNumberFormat="1" applyFont="1" applyAlignment="1">
      <alignment horizontal="center" wrapText="1"/>
    </xf>
    <xf numFmtId="0" fontId="3" fillId="0" borderId="0" xfId="0" applyNumberFormat="1" applyFont="1" applyBorder="1" applyAlignment="1">
      <alignment horizontal="center"/>
    </xf>
    <xf numFmtId="0" fontId="3" fillId="0" borderId="0" xfId="0" applyFont="1" applyFill="1" applyAlignment="1">
      <alignment horizontal="right"/>
    </xf>
    <xf numFmtId="165" fontId="3" fillId="0" borderId="0" xfId="0" applyNumberFormat="1" applyFont="1" applyFill="1" applyAlignment="1">
      <alignment horizontal="right"/>
    </xf>
    <xf numFmtId="165" fontId="3" fillId="0" borderId="1" xfId="0" applyNumberFormat="1" applyFont="1" applyFill="1" applyBorder="1" applyAlignment="1">
      <alignment horizontal="right"/>
    </xf>
    <xf numFmtId="165" fontId="3" fillId="0" borderId="2" xfId="0" applyNumberFormat="1" applyFont="1" applyFill="1" applyBorder="1" applyAlignment="1">
      <alignment horizontal="right"/>
    </xf>
    <xf numFmtId="165" fontId="3" fillId="0" borderId="3" xfId="0" applyNumberFormat="1" applyFont="1" applyFill="1" applyBorder="1" applyAlignment="1">
      <alignment horizontal="right"/>
    </xf>
    <xf numFmtId="165" fontId="3" fillId="0" borderId="0" xfId="0" applyNumberFormat="1" applyFont="1" applyFill="1" applyBorder="1" applyAlignment="1">
      <alignment horizontal="right"/>
    </xf>
    <xf numFmtId="164" fontId="3" fillId="0" borderId="4" xfId="0" applyNumberFormat="1" applyFont="1" applyFill="1" applyBorder="1" applyAlignment="1">
      <alignment horizontal="right"/>
    </xf>
    <xf numFmtId="164" fontId="3" fillId="0" borderId="0" xfId="0" applyNumberFormat="1" applyFont="1" applyFill="1" applyBorder="1" applyAlignment="1">
      <alignment horizontal="right"/>
    </xf>
    <xf numFmtId="166" fontId="3" fillId="0" borderId="0" xfId="0" applyNumberFormat="1" applyFont="1" applyFill="1" applyAlignment="1">
      <alignment horizontal="right"/>
    </xf>
    <xf numFmtId="167" fontId="3" fillId="0" borderId="0" xfId="0" applyNumberFormat="1" applyFont="1" applyFill="1" applyAlignment="1">
      <alignment horizontal="right"/>
    </xf>
    <xf numFmtId="168" fontId="3" fillId="0" borderId="0" xfId="2" applyNumberFormat="1" applyFont="1" applyFill="1" applyAlignment="1">
      <alignment horizontal="right"/>
    </xf>
    <xf numFmtId="168" fontId="2" fillId="0" borderId="0" xfId="2" applyNumberFormat="1" applyFont="1" applyFill="1" applyAlignment="1">
      <alignment horizontal="right"/>
    </xf>
    <xf numFmtId="0" fontId="3" fillId="0" borderId="0" xfId="0" applyNumberFormat="1" applyFont="1" applyFill="1" applyAlignment="1">
      <alignment horizontal="left"/>
    </xf>
    <xf numFmtId="0" fontId="3" fillId="0" borderId="0" xfId="0" quotePrefix="1" applyNumberFormat="1" applyFont="1" applyFill="1" applyBorder="1" applyAlignment="1"/>
    <xf numFmtId="0" fontId="2" fillId="0" borderId="0" xfId="0" applyNumberFormat="1" applyFont="1" applyFill="1" applyAlignment="1">
      <alignment horizontal="left"/>
    </xf>
    <xf numFmtId="0" fontId="4" fillId="0" borderId="0" xfId="0" quotePrefix="1" applyNumberFormat="1" applyFont="1" applyFill="1" applyAlignment="1">
      <alignment horizontal="left" vertical="top"/>
    </xf>
    <xf numFmtId="164" fontId="2" fillId="0" borderId="0" xfId="0" applyNumberFormat="1" applyFont="1" applyFill="1" applyAlignment="1">
      <alignment horizontal="right"/>
    </xf>
    <xf numFmtId="0" fontId="2" fillId="0" borderId="0" xfId="0" quotePrefix="1" applyNumberFormat="1" applyFont="1" applyFill="1" applyAlignment="1">
      <alignment horizontal="left" vertical="top" wrapText="1" indent="2"/>
    </xf>
    <xf numFmtId="0" fontId="2" fillId="0" borderId="0" xfId="0" quotePrefix="1" applyNumberFormat="1" applyFont="1" applyFill="1" applyAlignment="1">
      <alignment horizontal="left" vertical="top" indent="4"/>
    </xf>
    <xf numFmtId="0" fontId="3" fillId="0" borderId="0" xfId="0" quotePrefix="1" applyNumberFormat="1" applyFont="1" applyFill="1" applyAlignment="1">
      <alignment horizontal="left" vertical="top" indent="4"/>
    </xf>
    <xf numFmtId="14" fontId="3" fillId="0" borderId="1" xfId="0" applyNumberFormat="1" applyFont="1" applyBorder="1" applyAlignment="1">
      <alignment horizontal="center"/>
    </xf>
    <xf numFmtId="14" fontId="2" fillId="0" borderId="1" xfId="0" applyNumberFormat="1" applyFont="1" applyBorder="1" applyAlignment="1">
      <alignment horizontal="center"/>
    </xf>
    <xf numFmtId="164" fontId="3" fillId="0" borderId="0" xfId="0" applyNumberFormat="1" applyFont="1" applyFill="1" applyAlignment="1">
      <alignment horizontal="right"/>
    </xf>
    <xf numFmtId="164" fontId="2" fillId="0" borderId="0" xfId="0" applyNumberFormat="1" applyFont="1"/>
    <xf numFmtId="0" fontId="2" fillId="0" borderId="0" xfId="0" applyFont="1" applyBorder="1"/>
    <xf numFmtId="0" fontId="3" fillId="0" borderId="1" xfId="0" applyNumberFormat="1" applyFont="1" applyBorder="1" applyAlignment="1">
      <alignment horizontal="center"/>
    </xf>
    <xf numFmtId="170" fontId="2" fillId="0" borderId="1" xfId="0" applyNumberFormat="1" applyFont="1" applyFill="1" applyBorder="1" applyAlignment="1">
      <alignment horizontal="right"/>
    </xf>
    <xf numFmtId="171" fontId="2" fillId="0" borderId="1" xfId="0" applyNumberFormat="1" applyFont="1" applyFill="1" applyBorder="1" applyAlignment="1">
      <alignment horizontal="right"/>
    </xf>
    <xf numFmtId="0" fontId="2" fillId="0" borderId="0" xfId="0" applyNumberFormat="1" applyFont="1" applyFill="1" applyAlignment="1">
      <alignment horizontal="left" vertical="top"/>
    </xf>
    <xf numFmtId="49" fontId="4" fillId="0" borderId="0" xfId="0" quotePrefix="1" applyNumberFormat="1" applyFont="1" applyFill="1" applyAlignment="1">
      <alignment horizontal="left" vertical="top" wrapText="1"/>
    </xf>
    <xf numFmtId="49" fontId="2" fillId="0" borderId="0" xfId="0" quotePrefix="1" applyNumberFormat="1" applyFont="1" applyFill="1" applyAlignment="1">
      <alignment horizontal="left" vertical="top" wrapText="1" indent="1"/>
    </xf>
    <xf numFmtId="168" fontId="2" fillId="0" borderId="4" xfId="2" applyNumberFormat="1" applyFont="1" applyFill="1" applyBorder="1" applyAlignment="1">
      <alignment horizontal="right"/>
    </xf>
    <xf numFmtId="0" fontId="2" fillId="0" borderId="1" xfId="0" applyNumberFormat="1" applyFont="1" applyBorder="1" applyAlignment="1">
      <alignment horizontal="center"/>
    </xf>
    <xf numFmtId="170" fontId="3" fillId="0" borderId="1" xfId="0" applyNumberFormat="1" applyFont="1" applyFill="1" applyBorder="1" applyAlignment="1">
      <alignment horizontal="right"/>
    </xf>
    <xf numFmtId="171" fontId="3" fillId="0" borderId="1" xfId="0" applyNumberFormat="1" applyFont="1" applyFill="1" applyBorder="1" applyAlignment="1">
      <alignment horizontal="right"/>
    </xf>
    <xf numFmtId="168" fontId="3" fillId="0" borderId="4" xfId="2" applyNumberFormat="1" applyFont="1" applyFill="1" applyBorder="1" applyAlignment="1">
      <alignment horizontal="right"/>
    </xf>
    <xf numFmtId="0" fontId="3" fillId="0" borderId="0" xfId="0" applyNumberFormat="1" applyFont="1" applyBorder="1" applyAlignment="1">
      <alignment horizontal="center" wrapText="1"/>
    </xf>
    <xf numFmtId="0" fontId="3" fillId="0" borderId="0" xfId="0" applyFont="1" applyFill="1" applyBorder="1" applyAlignment="1">
      <alignment horizontal="right"/>
    </xf>
    <xf numFmtId="0" fontId="2" fillId="0" borderId="0" xfId="0" applyFont="1" applyFill="1" applyBorder="1" applyAlignment="1">
      <alignment horizontal="right"/>
    </xf>
    <xf numFmtId="49" fontId="2" fillId="0" borderId="0" xfId="0" quotePrefix="1" applyNumberFormat="1" applyFont="1" applyFill="1" applyAlignment="1">
      <alignment horizontal="left" vertical="top" wrapText="1" indent="2"/>
    </xf>
    <xf numFmtId="0" fontId="4" fillId="0" borderId="0" xfId="0" applyNumberFormat="1" applyFont="1" applyAlignment="1">
      <alignment horizontal="left" wrapText="1"/>
    </xf>
    <xf numFmtId="0" fontId="5" fillId="0" borderId="0" xfId="0" quotePrefix="1" applyNumberFormat="1" applyFont="1" applyBorder="1" applyAlignment="1">
      <alignment horizontal="left"/>
    </xf>
    <xf numFmtId="0" fontId="5" fillId="0" borderId="0" xfId="0" applyNumberFormat="1" applyFont="1" applyAlignment="1">
      <alignment horizontal="center"/>
    </xf>
    <xf numFmtId="0" fontId="3" fillId="0" borderId="0" xfId="0" quotePrefix="1" applyNumberFormat="1" applyFont="1" applyFill="1" applyAlignment="1">
      <alignment horizontal="left" vertical="top"/>
    </xf>
    <xf numFmtId="0" fontId="2" fillId="0" borderId="0" xfId="0" applyNumberFormat="1" applyFont="1" applyFill="1" applyAlignment="1">
      <alignment horizontal="left" vertical="top" indent="2"/>
    </xf>
    <xf numFmtId="168" fontId="2" fillId="0" borderId="0" xfId="2" applyNumberFormat="1" applyFont="1" applyFill="1" applyBorder="1" applyAlignment="1">
      <alignment horizontal="right"/>
    </xf>
    <xf numFmtId="169" fontId="2" fillId="0" borderId="0" xfId="1" applyNumberFormat="1" applyFont="1" applyFill="1" applyBorder="1" applyAlignment="1">
      <alignment horizontal="right"/>
    </xf>
    <xf numFmtId="169" fontId="2" fillId="0" borderId="3" xfId="1" applyNumberFormat="1" applyFont="1" applyFill="1" applyBorder="1" applyAlignment="1">
      <alignment horizontal="right"/>
    </xf>
    <xf numFmtId="169" fontId="2" fillId="0" borderId="1" xfId="1" applyNumberFormat="1" applyFont="1" applyFill="1" applyBorder="1" applyAlignment="1">
      <alignment horizontal="right"/>
    </xf>
    <xf numFmtId="0" fontId="6" fillId="0" borderId="0" xfId="0" applyFont="1"/>
    <xf numFmtId="0" fontId="6" fillId="0" borderId="0" xfId="0" applyFont="1" applyBorder="1"/>
    <xf numFmtId="168" fontId="2" fillId="0" borderId="0" xfId="0" applyNumberFormat="1" applyFont="1" applyFill="1" applyAlignment="1">
      <alignment horizontal="right"/>
    </xf>
    <xf numFmtId="0" fontId="7" fillId="0" borderId="0" xfId="0" applyFont="1"/>
    <xf numFmtId="0" fontId="7" fillId="0" borderId="0" xfId="0" applyFont="1" applyBorder="1"/>
    <xf numFmtId="168" fontId="3" fillId="0" borderId="0" xfId="2" applyNumberFormat="1" applyFont="1" applyFill="1" applyBorder="1" applyAlignment="1">
      <alignment horizontal="right"/>
    </xf>
    <xf numFmtId="169" fontId="3" fillId="0" borderId="0" xfId="1" applyNumberFormat="1" applyFont="1" applyFill="1" applyBorder="1" applyAlignment="1">
      <alignment horizontal="right"/>
    </xf>
    <xf numFmtId="169" fontId="3" fillId="0" borderId="3" xfId="1" applyNumberFormat="1" applyFont="1" applyFill="1" applyBorder="1" applyAlignment="1">
      <alignment horizontal="right"/>
    </xf>
    <xf numFmtId="169" fontId="3" fillId="0" borderId="1" xfId="1" applyNumberFormat="1" applyFont="1" applyFill="1" applyBorder="1" applyAlignment="1">
      <alignment horizontal="right"/>
    </xf>
    <xf numFmtId="168" fontId="3" fillId="0" borderId="0" xfId="0" applyNumberFormat="1" applyFont="1" applyFill="1" applyAlignment="1">
      <alignment horizontal="right"/>
    </xf>
    <xf numFmtId="0" fontId="9" fillId="0" borderId="0" xfId="0" applyFont="1"/>
    <xf numFmtId="166" fontId="3" fillId="0" borderId="4" xfId="0" applyNumberFormat="1" applyFont="1" applyFill="1" applyBorder="1" applyAlignment="1">
      <alignment horizontal="right"/>
    </xf>
    <xf numFmtId="166" fontId="2" fillId="0" borderId="4" xfId="0" applyNumberFormat="1" applyFont="1" applyFill="1" applyBorder="1" applyAlignment="1">
      <alignment horizontal="right"/>
    </xf>
    <xf numFmtId="172" fontId="3" fillId="0" borderId="0" xfId="0" applyNumberFormat="1" applyFont="1" applyFill="1" applyAlignment="1">
      <alignment horizontal="right"/>
    </xf>
    <xf numFmtId="172" fontId="2" fillId="0" borderId="0" xfId="0" applyNumberFormat="1" applyFont="1" applyFill="1" applyAlignment="1">
      <alignment horizontal="right"/>
    </xf>
    <xf numFmtId="170" fontId="3" fillId="0" borderId="0" xfId="0" applyNumberFormat="1" applyFont="1" applyFill="1" applyBorder="1" applyAlignment="1">
      <alignment horizontal="right"/>
    </xf>
    <xf numFmtId="170" fontId="2" fillId="0" borderId="0" xfId="0" applyNumberFormat="1" applyFont="1" applyFill="1" applyBorder="1" applyAlignment="1">
      <alignment horizontal="right"/>
    </xf>
    <xf numFmtId="164" fontId="2" fillId="0" borderId="1" xfId="0" applyNumberFormat="1" applyFont="1" applyFill="1" applyBorder="1" applyAlignment="1">
      <alignment horizontal="right"/>
    </xf>
    <xf numFmtId="164" fontId="3" fillId="0" borderId="1" xfId="0" applyNumberFormat="1" applyFont="1" applyFill="1" applyBorder="1" applyAlignment="1">
      <alignment horizontal="right"/>
    </xf>
    <xf numFmtId="0" fontId="14" fillId="0" borderId="0" xfId="0" applyFont="1"/>
    <xf numFmtId="0" fontId="15" fillId="0" borderId="0" xfId="0" applyFont="1"/>
    <xf numFmtId="0" fontId="2" fillId="2" borderId="0" xfId="0" applyFont="1" applyFill="1" applyBorder="1"/>
    <xf numFmtId="0" fontId="3" fillId="2" borderId="0" xfId="0" applyFont="1" applyFill="1" applyBorder="1"/>
    <xf numFmtId="0" fontId="11" fillId="2" borderId="0" xfId="3" applyFill="1" applyBorder="1" applyAlignment="1"/>
    <xf numFmtId="0" fontId="11" fillId="2" borderId="0" xfId="3" applyFill="1" applyBorder="1"/>
    <xf numFmtId="0" fontId="13" fillId="2" borderId="0" xfId="0" applyFont="1" applyFill="1" applyBorder="1"/>
    <xf numFmtId="0" fontId="16" fillId="0" borderId="0" xfId="0" applyFont="1"/>
    <xf numFmtId="168" fontId="2" fillId="0" borderId="0" xfId="0" applyNumberFormat="1" applyFont="1"/>
    <xf numFmtId="0" fontId="3" fillId="0" borderId="0" xfId="0" applyFont="1"/>
    <xf numFmtId="164" fontId="3" fillId="0" borderId="0" xfId="0" applyNumberFormat="1" applyFont="1"/>
    <xf numFmtId="0" fontId="9" fillId="0" borderId="0" xfId="0" quotePrefix="1" applyNumberFormat="1" applyFont="1" applyFill="1" applyAlignment="1">
      <alignment horizontal="left" vertical="top"/>
    </xf>
    <xf numFmtId="0" fontId="2" fillId="2" borderId="0" xfId="0" applyFont="1" applyFill="1" applyBorder="1" applyAlignment="1">
      <alignment horizontal="left" vertical="center" wrapText="1"/>
    </xf>
    <xf numFmtId="0" fontId="9" fillId="0" borderId="0" xfId="0" quotePrefix="1" applyNumberFormat="1" applyFont="1" applyFill="1" applyAlignment="1">
      <alignment horizontal="left" wrapText="1"/>
    </xf>
  </cellXfs>
  <cellStyles count="4">
    <cellStyle name="Comma" xfId="1" builtinId="3"/>
    <cellStyle name="Currency" xfId="2" builtinId="4"/>
    <cellStyle name="Hyperlink" xfId="3" builtinId="8"/>
    <cellStyle name="Normal" xfId="0" builtinId="0"/>
  </cellStyles>
  <dxfs count="403">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s>
  <tableStyles count="0" defaultTableStyle="TableStyleMedium2" defaultPivotStyle="PivotStyleLight16"/>
  <colors>
    <mruColors>
      <color rgb="FFF2F2F2"/>
      <color rgb="FFFFFFFF"/>
      <color rgb="FF595959"/>
      <color rgb="FF265E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2</xdr:row>
      <xdr:rowOff>19050</xdr:rowOff>
    </xdr:from>
    <xdr:to>
      <xdr:col>3</xdr:col>
      <xdr:colOff>593816</xdr:colOff>
      <xdr:row>4</xdr:row>
      <xdr:rowOff>61633</xdr:rowOff>
    </xdr:to>
    <xdr:pic>
      <xdr:nvPicPr>
        <xdr:cNvPr id="2" name="Picture 1">
          <a:extLst>
            <a:ext uri="{FF2B5EF4-FFF2-40B4-BE49-F238E27FC236}">
              <a16:creationId xmlns:a16="http://schemas.microsoft.com/office/drawing/2014/main" id="{99533A64-3475-4060-BF70-ED9EC9497C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700" y="361950"/>
          <a:ext cx="1774916" cy="3854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investors.potlatchdeltic.com/home/default.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1E0E3-FB6C-41A9-BAED-684CAED9759F}">
  <sheetPr>
    <tabColor theme="9" tint="0.59999389629810485"/>
    <pageSetUpPr fitToPage="1"/>
  </sheetPr>
  <dimension ref="B5:Q27"/>
  <sheetViews>
    <sheetView showGridLines="0" tabSelected="1" zoomScale="80" zoomScaleNormal="80" workbookViewId="0">
      <selection activeCell="S9" sqref="S9"/>
    </sheetView>
  </sheetViews>
  <sheetFormatPr defaultColWidth="8.85546875" defaultRowHeight="12.75" x14ac:dyDescent="0.2"/>
  <cols>
    <col min="1" max="1" width="4.85546875" style="2" customWidth="1"/>
    <col min="2" max="16384" width="8.85546875" style="2"/>
  </cols>
  <sheetData>
    <row r="5" spans="2:14" x14ac:dyDescent="0.2">
      <c r="B5" s="48"/>
      <c r="C5" s="48"/>
      <c r="D5" s="48"/>
      <c r="E5" s="48"/>
      <c r="F5" s="48"/>
      <c r="G5" s="48"/>
      <c r="H5" s="48"/>
      <c r="I5" s="48"/>
      <c r="J5" s="48"/>
      <c r="K5" s="48"/>
      <c r="L5" s="48"/>
      <c r="M5" s="48"/>
      <c r="N5" s="48"/>
    </row>
    <row r="6" spans="2:14" x14ac:dyDescent="0.2">
      <c r="B6" s="94"/>
      <c r="C6" s="94"/>
      <c r="D6" s="94"/>
      <c r="E6" s="94"/>
      <c r="F6" s="94"/>
      <c r="G6" s="94"/>
      <c r="H6" s="94"/>
      <c r="I6" s="94"/>
      <c r="J6" s="94"/>
      <c r="K6" s="94"/>
      <c r="L6" s="94"/>
      <c r="M6" s="94"/>
      <c r="N6" s="94"/>
    </row>
    <row r="7" spans="2:14" x14ac:dyDescent="0.2">
      <c r="B7" s="95" t="s">
        <v>78</v>
      </c>
      <c r="C7" s="94"/>
      <c r="D7" s="94"/>
      <c r="E7" s="94"/>
      <c r="F7" s="94"/>
      <c r="G7" s="94"/>
      <c r="H7" s="94"/>
      <c r="I7" s="94"/>
      <c r="J7" s="94"/>
      <c r="K7" s="94"/>
      <c r="L7" s="94"/>
      <c r="M7" s="94"/>
      <c r="N7" s="94"/>
    </row>
    <row r="8" spans="2:14" x14ac:dyDescent="0.2">
      <c r="B8" s="95" t="s">
        <v>115</v>
      </c>
      <c r="C8" s="94"/>
      <c r="D8" s="94"/>
      <c r="E8" s="94"/>
      <c r="F8" s="94"/>
      <c r="G8" s="94"/>
      <c r="H8" s="94"/>
      <c r="I8" s="94"/>
      <c r="J8" s="94"/>
      <c r="K8" s="94"/>
      <c r="L8" s="94"/>
      <c r="M8" s="94"/>
      <c r="N8" s="94"/>
    </row>
    <row r="9" spans="2:14" x14ac:dyDescent="0.2">
      <c r="B9" s="94" t="s">
        <v>189</v>
      </c>
      <c r="C9" s="94"/>
      <c r="D9" s="94"/>
      <c r="E9" s="94"/>
      <c r="F9" s="94"/>
      <c r="G9" s="94"/>
      <c r="H9" s="94"/>
      <c r="I9" s="94"/>
      <c r="J9" s="94"/>
      <c r="K9" s="94"/>
      <c r="L9" s="94"/>
      <c r="M9" s="94"/>
      <c r="N9" s="94"/>
    </row>
    <row r="10" spans="2:14" x14ac:dyDescent="0.2">
      <c r="B10" s="94"/>
      <c r="C10" s="94"/>
      <c r="D10" s="94"/>
      <c r="E10" s="94"/>
      <c r="F10" s="94"/>
      <c r="G10" s="94"/>
      <c r="H10" s="94"/>
      <c r="I10" s="94"/>
      <c r="J10" s="94"/>
      <c r="K10" s="94"/>
      <c r="L10" s="94"/>
      <c r="M10" s="94"/>
      <c r="N10" s="94"/>
    </row>
    <row r="11" spans="2:14" x14ac:dyDescent="0.2">
      <c r="B11" s="94" t="s">
        <v>157</v>
      </c>
      <c r="C11" s="94"/>
      <c r="D11" s="94"/>
      <c r="E11" s="94"/>
      <c r="F11" s="94"/>
      <c r="G11" s="94"/>
      <c r="H11" s="94"/>
      <c r="I11" s="94"/>
      <c r="J11" s="94"/>
      <c r="K11" s="94"/>
      <c r="L11" s="94"/>
      <c r="M11" s="94"/>
      <c r="N11" s="94"/>
    </row>
    <row r="12" spans="2:14" x14ac:dyDescent="0.2">
      <c r="B12" s="94"/>
      <c r="C12" s="94"/>
      <c r="D12" s="94"/>
      <c r="E12" s="94"/>
      <c r="F12" s="94"/>
      <c r="G12" s="94"/>
      <c r="H12" s="94"/>
      <c r="I12" s="94"/>
      <c r="J12" s="94"/>
      <c r="K12" s="94"/>
      <c r="L12" s="94"/>
      <c r="M12" s="94"/>
      <c r="N12" s="94"/>
    </row>
    <row r="13" spans="2:14" ht="15" x14ac:dyDescent="0.25">
      <c r="B13" s="96" t="s">
        <v>138</v>
      </c>
      <c r="C13" s="96"/>
      <c r="D13" s="96"/>
      <c r="E13" s="96"/>
      <c r="F13" s="96"/>
      <c r="G13" s="96"/>
      <c r="H13" s="96"/>
      <c r="I13" s="96"/>
      <c r="J13" s="96"/>
      <c r="K13" s="94"/>
      <c r="L13" s="94"/>
      <c r="M13" s="94"/>
      <c r="N13" s="94"/>
    </row>
    <row r="14" spans="2:14" ht="15" x14ac:dyDescent="0.25">
      <c r="B14" s="97"/>
      <c r="C14" s="94"/>
      <c r="D14" s="94"/>
      <c r="E14" s="94"/>
      <c r="F14" s="94"/>
      <c r="G14" s="94"/>
      <c r="H14" s="94"/>
      <c r="I14" s="94"/>
      <c r="J14" s="94"/>
      <c r="K14" s="94"/>
      <c r="L14" s="94"/>
      <c r="M14" s="94"/>
      <c r="N14" s="94"/>
    </row>
    <row r="15" spans="2:14" x14ac:dyDescent="0.2">
      <c r="B15" s="94" t="s">
        <v>193</v>
      </c>
      <c r="C15" s="94"/>
      <c r="D15" s="94"/>
      <c r="E15" s="94"/>
      <c r="F15" s="94"/>
      <c r="G15" s="94"/>
      <c r="H15" s="94"/>
      <c r="I15" s="94"/>
      <c r="J15" s="94"/>
      <c r="K15" s="94"/>
      <c r="L15" s="94"/>
      <c r="M15" s="94"/>
      <c r="N15" s="94"/>
    </row>
    <row r="16" spans="2:14" x14ac:dyDescent="0.2">
      <c r="B16" s="94"/>
      <c r="C16" s="94"/>
      <c r="D16" s="94"/>
      <c r="E16" s="94"/>
      <c r="F16" s="94"/>
      <c r="G16" s="94"/>
      <c r="H16" s="94"/>
      <c r="I16" s="94"/>
      <c r="J16" s="94"/>
      <c r="K16" s="94"/>
      <c r="L16" s="94"/>
      <c r="M16" s="94"/>
      <c r="N16" s="94"/>
    </row>
    <row r="17" spans="2:17" ht="15" customHeight="1" x14ac:dyDescent="0.2">
      <c r="B17" s="48"/>
      <c r="C17" s="48"/>
      <c r="D17" s="48"/>
      <c r="E17" s="48"/>
      <c r="F17" s="48"/>
      <c r="G17" s="48"/>
      <c r="H17" s="48"/>
      <c r="I17" s="48"/>
      <c r="J17" s="48"/>
      <c r="K17" s="48"/>
      <c r="L17" s="48"/>
      <c r="M17" s="48"/>
      <c r="N17" s="48"/>
    </row>
    <row r="18" spans="2:17" x14ac:dyDescent="0.2">
      <c r="B18" s="94" t="s">
        <v>123</v>
      </c>
      <c r="C18" s="94"/>
      <c r="D18" s="94"/>
      <c r="E18" s="94"/>
      <c r="F18" s="94"/>
      <c r="G18" s="94"/>
      <c r="H18" s="94"/>
      <c r="I18" s="94"/>
      <c r="J18" s="94"/>
      <c r="K18" s="94"/>
      <c r="L18" s="94"/>
      <c r="M18" s="94"/>
      <c r="N18" s="94"/>
    </row>
    <row r="19" spans="2:17" ht="64.5" customHeight="1" x14ac:dyDescent="0.2">
      <c r="B19" s="104" t="s">
        <v>164</v>
      </c>
      <c r="C19" s="104"/>
      <c r="D19" s="104"/>
      <c r="E19" s="104"/>
      <c r="F19" s="104"/>
      <c r="G19" s="104"/>
      <c r="H19" s="104"/>
      <c r="I19" s="104"/>
      <c r="J19" s="104"/>
      <c r="K19" s="104"/>
      <c r="L19" s="104"/>
      <c r="M19" s="104"/>
      <c r="N19" s="104"/>
    </row>
    <row r="20" spans="2:17" ht="15" customHeight="1" x14ac:dyDescent="0.2">
      <c r="B20" s="48"/>
      <c r="C20" s="48"/>
      <c r="D20" s="48"/>
      <c r="E20" s="48"/>
      <c r="F20" s="48"/>
      <c r="G20" s="48"/>
      <c r="H20" s="48"/>
      <c r="I20" s="48"/>
      <c r="J20" s="48"/>
      <c r="K20" s="48"/>
      <c r="L20" s="48"/>
      <c r="M20" s="48"/>
      <c r="N20" s="48"/>
    </row>
    <row r="21" spans="2:17" x14ac:dyDescent="0.2">
      <c r="B21" s="98" t="s">
        <v>124</v>
      </c>
      <c r="C21" s="94"/>
      <c r="D21" s="94"/>
      <c r="E21" s="94"/>
      <c r="F21" s="94"/>
      <c r="G21" s="94"/>
      <c r="H21" s="94"/>
      <c r="I21" s="94"/>
      <c r="J21" s="94"/>
      <c r="K21" s="94"/>
      <c r="L21" s="94"/>
      <c r="M21" s="94"/>
      <c r="N21" s="94"/>
    </row>
    <row r="22" spans="2:17" ht="54" customHeight="1" x14ac:dyDescent="0.2">
      <c r="B22" s="104" t="s">
        <v>130</v>
      </c>
      <c r="C22" s="104"/>
      <c r="D22" s="104"/>
      <c r="E22" s="104"/>
      <c r="F22" s="104"/>
      <c r="G22" s="104"/>
      <c r="H22" s="104"/>
      <c r="I22" s="104"/>
      <c r="J22" s="104"/>
      <c r="K22" s="104"/>
      <c r="L22" s="104"/>
      <c r="M22" s="104"/>
      <c r="N22" s="104"/>
    </row>
    <row r="23" spans="2:17" x14ac:dyDescent="0.2">
      <c r="B23" s="48"/>
      <c r="C23" s="48"/>
      <c r="D23" s="48"/>
      <c r="E23" s="48"/>
      <c r="F23" s="48"/>
      <c r="G23" s="48"/>
      <c r="H23" s="48"/>
      <c r="I23" s="48"/>
      <c r="J23" s="48"/>
      <c r="K23" s="48"/>
      <c r="L23" s="48"/>
      <c r="M23" s="48"/>
      <c r="N23" s="48"/>
    </row>
    <row r="24" spans="2:17" ht="12.6" customHeight="1" x14ac:dyDescent="0.2">
      <c r="B24" s="48"/>
      <c r="C24" s="48"/>
      <c r="D24" s="48"/>
      <c r="E24" s="48"/>
      <c r="F24" s="48"/>
      <c r="G24" s="48"/>
      <c r="H24" s="48"/>
      <c r="I24" s="48"/>
      <c r="J24" s="48"/>
      <c r="K24" s="48"/>
      <c r="L24" s="48"/>
      <c r="M24" s="48"/>
      <c r="N24" s="48"/>
    </row>
    <row r="25" spans="2:17" x14ac:dyDescent="0.2">
      <c r="B25" s="48"/>
      <c r="C25" s="48"/>
      <c r="D25" s="48"/>
      <c r="E25" s="48"/>
      <c r="F25" s="48"/>
      <c r="G25" s="48"/>
      <c r="H25" s="48"/>
      <c r="I25" s="48"/>
      <c r="J25" s="48"/>
      <c r="K25" s="48"/>
      <c r="L25" s="48"/>
      <c r="M25" s="48"/>
      <c r="N25" s="48"/>
      <c r="Q25" s="92"/>
    </row>
    <row r="26" spans="2:17" x14ac:dyDescent="0.2">
      <c r="B26" s="48"/>
      <c r="C26" s="48"/>
      <c r="D26" s="48"/>
      <c r="E26" s="48"/>
      <c r="F26" s="48"/>
      <c r="G26" s="48"/>
      <c r="H26" s="48"/>
      <c r="I26" s="48"/>
      <c r="J26" s="48"/>
      <c r="K26" s="48"/>
      <c r="L26" s="48"/>
      <c r="M26" s="48"/>
      <c r="N26" s="48"/>
    </row>
    <row r="27" spans="2:17" x14ac:dyDescent="0.2">
      <c r="B27" s="48"/>
      <c r="C27" s="48"/>
      <c r="D27" s="48"/>
      <c r="E27" s="48"/>
      <c r="F27" s="48"/>
      <c r="G27" s="48"/>
      <c r="H27" s="48"/>
      <c r="I27" s="48"/>
      <c r="J27" s="48"/>
      <c r="K27" s="48"/>
      <c r="L27" s="48"/>
      <c r="M27" s="48"/>
      <c r="N27" s="48"/>
    </row>
  </sheetData>
  <mergeCells count="2">
    <mergeCell ref="B22:N22"/>
    <mergeCell ref="B19:N19"/>
  </mergeCells>
  <hyperlinks>
    <hyperlink ref="B13" r:id="rId1" xr:uid="{C9DE8D3F-B136-4472-BB7F-127CEF3AF3AC}"/>
  </hyperlinks>
  <pageMargins left="0.7" right="0.7" top="0.75" bottom="0.75" header="0.3" footer="0.3"/>
  <pageSetup scale="7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CBFB5-3652-4DCC-A5C0-1722000B0930}">
  <sheetPr>
    <tabColor theme="9" tint="0.59999389629810485"/>
    <pageSetUpPr fitToPage="1"/>
  </sheetPr>
  <dimension ref="A1:X87"/>
  <sheetViews>
    <sheetView showGridLines="0" zoomScaleNormal="100" workbookViewId="0">
      <pane xSplit="1" ySplit="5" topLeftCell="K63" activePane="bottomRight" state="frozen"/>
      <selection pane="topRight"/>
      <selection pane="bottomLeft"/>
      <selection pane="bottomRight" activeCell="A87" sqref="A87"/>
    </sheetView>
  </sheetViews>
  <sheetFormatPr defaultColWidth="9.28515625" defaultRowHeight="12.75" x14ac:dyDescent="0.2"/>
  <cols>
    <col min="1" max="1" width="60" style="2" bestFit="1" customWidth="1"/>
    <col min="2" max="18" width="13.7109375" style="2" customWidth="1"/>
    <col min="19" max="20" width="11" style="2" customWidth="1"/>
    <col min="21" max="21" width="13.7109375" style="2" customWidth="1"/>
    <col min="22" max="23" width="11" style="2" customWidth="1"/>
    <col min="24" max="24" width="9.7109375" style="2" bestFit="1" customWidth="1"/>
    <col min="25" max="16384" width="9.28515625" style="2"/>
  </cols>
  <sheetData>
    <row r="1" spans="1:24" s="19" customFormat="1" x14ac:dyDescent="0.2">
      <c r="A1" s="36" t="s">
        <v>78</v>
      </c>
      <c r="B1" s="37"/>
      <c r="C1" s="37"/>
      <c r="D1" s="37"/>
      <c r="E1" s="37"/>
      <c r="F1" s="37"/>
      <c r="G1" s="37"/>
      <c r="H1" s="37"/>
      <c r="I1" s="37"/>
      <c r="J1" s="37"/>
      <c r="K1" s="37" t="s">
        <v>94</v>
      </c>
      <c r="L1" s="37"/>
      <c r="M1" s="37"/>
      <c r="N1" s="37"/>
      <c r="O1" s="37"/>
      <c r="P1" s="37"/>
      <c r="Q1" s="37"/>
      <c r="R1" s="37"/>
      <c r="U1" s="37"/>
    </row>
    <row r="2" spans="1:24" s="19" customFormat="1" x14ac:dyDescent="0.2">
      <c r="A2" s="36" t="s">
        <v>184</v>
      </c>
      <c r="B2" s="37"/>
      <c r="C2" s="37"/>
      <c r="D2" s="37"/>
      <c r="E2" s="37"/>
      <c r="F2" s="37"/>
      <c r="G2" s="37"/>
      <c r="H2" s="37"/>
      <c r="I2" s="37"/>
      <c r="J2" s="37"/>
      <c r="K2" s="37"/>
      <c r="L2" s="37"/>
      <c r="M2" s="37"/>
      <c r="N2" s="37"/>
      <c r="O2" s="37"/>
      <c r="P2" s="37"/>
      <c r="Q2" s="37"/>
      <c r="R2" s="37"/>
      <c r="U2" s="37"/>
    </row>
    <row r="3" spans="1:24" s="19" customFormat="1" x14ac:dyDescent="0.2">
      <c r="A3" s="38" t="s">
        <v>151</v>
      </c>
      <c r="B3" s="37"/>
      <c r="C3" s="37"/>
      <c r="D3" s="37"/>
      <c r="E3" s="37"/>
      <c r="F3" s="37"/>
      <c r="G3" s="37"/>
      <c r="H3" s="37"/>
      <c r="I3" s="37"/>
      <c r="J3" s="37"/>
      <c r="K3" s="37"/>
      <c r="L3" s="37"/>
      <c r="M3" s="37"/>
      <c r="N3" s="37"/>
      <c r="O3" s="37"/>
      <c r="P3" s="37"/>
      <c r="Q3" s="37"/>
      <c r="R3" s="37"/>
      <c r="U3" s="37"/>
    </row>
    <row r="4" spans="1:24" s="19" customFormat="1" x14ac:dyDescent="0.2">
      <c r="A4" s="38" t="s">
        <v>150</v>
      </c>
      <c r="B4" s="18"/>
      <c r="C4" s="18"/>
      <c r="D4" s="18"/>
      <c r="E4" s="18"/>
      <c r="F4" s="18"/>
      <c r="G4" s="18"/>
      <c r="H4" s="18"/>
      <c r="I4" s="18"/>
      <c r="J4" s="18"/>
      <c r="K4" s="18"/>
      <c r="L4" s="18"/>
      <c r="M4" s="18"/>
      <c r="N4" s="18"/>
      <c r="O4" s="18"/>
      <c r="P4" s="18"/>
      <c r="Q4" s="18"/>
      <c r="R4" s="18"/>
      <c r="U4" s="18"/>
    </row>
    <row r="5" spans="1:24" s="22" customFormat="1" x14ac:dyDescent="0.2">
      <c r="A5" s="20"/>
      <c r="B5" s="56" t="s">
        <v>66</v>
      </c>
      <c r="C5" s="56" t="s">
        <v>67</v>
      </c>
      <c r="D5" s="56" t="s">
        <v>68</v>
      </c>
      <c r="E5" s="56" t="s">
        <v>69</v>
      </c>
      <c r="F5" s="49">
        <v>2016</v>
      </c>
      <c r="G5" s="56" t="s">
        <v>77</v>
      </c>
      <c r="H5" s="56" t="s">
        <v>76</v>
      </c>
      <c r="I5" s="56" t="s">
        <v>75</v>
      </c>
      <c r="J5" s="56" t="s">
        <v>74</v>
      </c>
      <c r="K5" s="49">
        <v>2017</v>
      </c>
      <c r="L5" s="56" t="s">
        <v>73</v>
      </c>
      <c r="M5" s="56" t="s">
        <v>72</v>
      </c>
      <c r="N5" s="56" t="s">
        <v>71</v>
      </c>
      <c r="O5" s="56" t="s">
        <v>70</v>
      </c>
      <c r="P5" s="49">
        <v>2018</v>
      </c>
      <c r="Q5" s="56" t="s">
        <v>158</v>
      </c>
      <c r="R5" s="56" t="s">
        <v>176</v>
      </c>
      <c r="S5" s="56" t="s">
        <v>179</v>
      </c>
      <c r="T5" s="56" t="s">
        <v>180</v>
      </c>
      <c r="U5" s="49">
        <v>2019</v>
      </c>
      <c r="V5" s="56" t="s">
        <v>182</v>
      </c>
      <c r="W5" s="56" t="s">
        <v>188</v>
      </c>
      <c r="X5" s="56" t="s">
        <v>189</v>
      </c>
    </row>
    <row r="6" spans="1:24" s="22" customFormat="1" x14ac:dyDescent="0.2">
      <c r="A6" s="20"/>
      <c r="B6" s="21"/>
      <c r="C6" s="21"/>
      <c r="D6" s="21"/>
      <c r="E6" s="21"/>
      <c r="F6" s="23"/>
      <c r="G6" s="21"/>
      <c r="H6" s="21"/>
      <c r="I6" s="21"/>
      <c r="J6" s="21"/>
      <c r="K6" s="23"/>
      <c r="L6" s="21"/>
      <c r="M6" s="21"/>
      <c r="N6" s="21"/>
      <c r="O6" s="21"/>
      <c r="P6" s="23"/>
      <c r="Q6" s="21"/>
      <c r="R6" s="21"/>
      <c r="S6" s="21"/>
      <c r="T6" s="21"/>
      <c r="U6" s="23"/>
      <c r="V6" s="21"/>
      <c r="W6" s="21"/>
      <c r="X6" s="21"/>
    </row>
    <row r="7" spans="1:24" x14ac:dyDescent="0.2">
      <c r="A7" s="1" t="s">
        <v>0</v>
      </c>
      <c r="B7" s="90">
        <v>127896</v>
      </c>
      <c r="C7" s="90">
        <v>141495</v>
      </c>
      <c r="D7" s="90">
        <v>174027</v>
      </c>
      <c r="E7" s="90">
        <v>155681</v>
      </c>
      <c r="F7" s="91">
        <f>SUM(B7:E7)</f>
        <v>599099</v>
      </c>
      <c r="G7" s="90">
        <v>149681</v>
      </c>
      <c r="H7" s="90">
        <v>163229</v>
      </c>
      <c r="I7" s="90">
        <v>190441</v>
      </c>
      <c r="J7" s="90">
        <v>175244</v>
      </c>
      <c r="K7" s="91">
        <f>SUM(G7:J7)</f>
        <v>678595</v>
      </c>
      <c r="L7" s="90">
        <v>199897</v>
      </c>
      <c r="M7" s="90">
        <v>268233</v>
      </c>
      <c r="N7" s="90">
        <v>289199</v>
      </c>
      <c r="O7" s="90">
        <v>217250</v>
      </c>
      <c r="P7" s="91">
        <f>SUM(L7:O7)</f>
        <v>974579</v>
      </c>
      <c r="Q7" s="90">
        <v>181716</v>
      </c>
      <c r="R7" s="90">
        <v>215581</v>
      </c>
      <c r="S7" s="90">
        <v>226302</v>
      </c>
      <c r="T7" s="90">
        <v>203499</v>
      </c>
      <c r="U7" s="91">
        <f>SUM(Q7:T7)</f>
        <v>827098</v>
      </c>
      <c r="V7" s="90">
        <v>208880</v>
      </c>
      <c r="W7" s="90">
        <v>181555</v>
      </c>
      <c r="X7" s="90">
        <v>313046</v>
      </c>
    </row>
    <row r="8" spans="1:24" x14ac:dyDescent="0.2">
      <c r="A8" s="1" t="s">
        <v>1</v>
      </c>
      <c r="B8" s="3"/>
      <c r="C8" s="3"/>
      <c r="D8" s="3"/>
      <c r="E8" s="3"/>
      <c r="F8" s="24"/>
      <c r="G8" s="3"/>
      <c r="H8" s="3"/>
      <c r="I8" s="3"/>
      <c r="J8" s="3"/>
      <c r="K8" s="24"/>
      <c r="L8" s="3"/>
      <c r="M8" s="3"/>
      <c r="N8" s="3"/>
      <c r="O8" s="3"/>
      <c r="P8" s="24"/>
      <c r="Q8" s="3"/>
      <c r="R8" s="3"/>
      <c r="S8" s="3"/>
      <c r="T8" s="3"/>
      <c r="U8" s="24"/>
      <c r="V8" s="3"/>
      <c r="W8" s="3"/>
      <c r="X8" s="3"/>
    </row>
    <row r="9" spans="1:24" x14ac:dyDescent="0.2">
      <c r="A9" s="4" t="s">
        <v>2</v>
      </c>
      <c r="B9" s="5">
        <f>109815-361</f>
        <v>109454</v>
      </c>
      <c r="C9" s="5">
        <f>113377-491</f>
        <v>112886</v>
      </c>
      <c r="D9" s="5">
        <f>122132-426</f>
        <v>121706</v>
      </c>
      <c r="E9" s="5">
        <f>116980-426</f>
        <v>116554</v>
      </c>
      <c r="F9" s="25">
        <f t="shared" ref="F9:F15" si="0">SUM(B9:E9)</f>
        <v>460600</v>
      </c>
      <c r="G9" s="5">
        <v>112498</v>
      </c>
      <c r="H9" s="5">
        <v>111356</v>
      </c>
      <c r="I9" s="5">
        <v>124727</v>
      </c>
      <c r="J9" s="5">
        <v>120812</v>
      </c>
      <c r="K9" s="25">
        <f t="shared" ref="K9:K15" si="1">SUM(G9:J9)</f>
        <v>469393</v>
      </c>
      <c r="L9" s="5">
        <v>139155</v>
      </c>
      <c r="M9" s="5">
        <v>180906</v>
      </c>
      <c r="N9" s="5">
        <v>195584</v>
      </c>
      <c r="O9" s="5">
        <v>192000</v>
      </c>
      <c r="P9" s="25">
        <f t="shared" ref="P9:P15" si="2">SUM(L9:O9)</f>
        <v>707645</v>
      </c>
      <c r="Q9" s="5">
        <v>154215</v>
      </c>
      <c r="R9" s="5">
        <v>175673</v>
      </c>
      <c r="S9" s="5">
        <v>182634</v>
      </c>
      <c r="T9" s="5">
        <v>169544</v>
      </c>
      <c r="U9" s="25">
        <f t="shared" ref="U9:U15" si="3">SUM(Q9:T9)</f>
        <v>682066</v>
      </c>
      <c r="V9" s="5">
        <v>172046</v>
      </c>
      <c r="W9" s="5">
        <v>149836</v>
      </c>
      <c r="X9" s="5">
        <v>182039</v>
      </c>
    </row>
    <row r="10" spans="1:24" x14ac:dyDescent="0.2">
      <c r="A10" s="4" t="s">
        <v>3</v>
      </c>
      <c r="B10" s="5">
        <f>13009-220-1735</f>
        <v>11054</v>
      </c>
      <c r="C10" s="5">
        <f>13824-802-1982</f>
        <v>11040</v>
      </c>
      <c r="D10" s="5">
        <f>12901-1859</f>
        <v>11042</v>
      </c>
      <c r="E10" s="5">
        <f>12985-1859</f>
        <v>11126</v>
      </c>
      <c r="F10" s="25">
        <f t="shared" si="0"/>
        <v>44262</v>
      </c>
      <c r="G10" s="5">
        <v>11368</v>
      </c>
      <c r="H10" s="5">
        <v>13079</v>
      </c>
      <c r="I10" s="5">
        <v>13240</v>
      </c>
      <c r="J10" s="5">
        <v>12309</v>
      </c>
      <c r="K10" s="25">
        <f t="shared" si="1"/>
        <v>49996</v>
      </c>
      <c r="L10" s="5">
        <v>13656</v>
      </c>
      <c r="M10" s="5">
        <v>16892</v>
      </c>
      <c r="N10" s="5">
        <v>14901</v>
      </c>
      <c r="O10" s="5">
        <v>14412</v>
      </c>
      <c r="P10" s="25">
        <f t="shared" si="2"/>
        <v>59861</v>
      </c>
      <c r="Q10" s="5">
        <v>16570</v>
      </c>
      <c r="R10" s="5">
        <v>14952</v>
      </c>
      <c r="S10" s="5">
        <v>12472</v>
      </c>
      <c r="T10" s="5">
        <v>13931</v>
      </c>
      <c r="U10" s="25">
        <f t="shared" si="3"/>
        <v>57925</v>
      </c>
      <c r="V10" s="5">
        <v>14207</v>
      </c>
      <c r="W10" s="5">
        <v>16811</v>
      </c>
      <c r="X10" s="5">
        <v>21046</v>
      </c>
    </row>
    <row r="11" spans="1:24" ht="14.25" x14ac:dyDescent="0.2">
      <c r="A11" s="4" t="s">
        <v>171</v>
      </c>
      <c r="B11" s="5">
        <v>0</v>
      </c>
      <c r="C11" s="5">
        <v>0</v>
      </c>
      <c r="D11" s="5">
        <v>0</v>
      </c>
      <c r="E11" s="5">
        <v>0</v>
      </c>
      <c r="F11" s="25">
        <f t="shared" ref="F11" si="4">SUM(B11:E11)</f>
        <v>0</v>
      </c>
      <c r="G11" s="5">
        <v>0</v>
      </c>
      <c r="H11" s="5">
        <v>0</v>
      </c>
      <c r="I11" s="5">
        <v>0</v>
      </c>
      <c r="J11" s="5">
        <v>0</v>
      </c>
      <c r="K11" s="25">
        <f t="shared" ref="K11" si="5">SUM(G11:J11)</f>
        <v>0</v>
      </c>
      <c r="L11" s="5">
        <v>0</v>
      </c>
      <c r="M11" s="5">
        <v>0</v>
      </c>
      <c r="N11" s="5">
        <v>0</v>
      </c>
      <c r="O11" s="5">
        <v>0</v>
      </c>
      <c r="P11" s="25">
        <f t="shared" ref="P11" si="6">SUM(L11:O11)</f>
        <v>0</v>
      </c>
      <c r="Q11" s="5">
        <v>-9176</v>
      </c>
      <c r="R11" s="5">
        <v>0</v>
      </c>
      <c r="S11" s="5">
        <v>0</v>
      </c>
      <c r="T11" s="5">
        <v>0</v>
      </c>
      <c r="U11" s="25">
        <f t="shared" si="3"/>
        <v>-9176</v>
      </c>
      <c r="V11" s="5">
        <v>0</v>
      </c>
      <c r="W11" s="5">
        <v>0</v>
      </c>
      <c r="X11" s="5">
        <v>0</v>
      </c>
    </row>
    <row r="12" spans="1:24" x14ac:dyDescent="0.2">
      <c r="A12" s="4" t="s">
        <v>4</v>
      </c>
      <c r="B12" s="5">
        <v>0</v>
      </c>
      <c r="C12" s="5">
        <v>0</v>
      </c>
      <c r="D12" s="5">
        <v>0</v>
      </c>
      <c r="E12" s="5">
        <v>0</v>
      </c>
      <c r="F12" s="25">
        <f t="shared" si="0"/>
        <v>0</v>
      </c>
      <c r="G12" s="5">
        <v>0</v>
      </c>
      <c r="H12" s="5">
        <v>0</v>
      </c>
      <c r="I12" s="5">
        <v>27</v>
      </c>
      <c r="J12" s="5">
        <v>3382</v>
      </c>
      <c r="K12" s="25">
        <f t="shared" si="1"/>
        <v>3409</v>
      </c>
      <c r="L12" s="5">
        <v>19255</v>
      </c>
      <c r="M12" s="5">
        <v>1018</v>
      </c>
      <c r="N12" s="5">
        <v>972</v>
      </c>
      <c r="O12" s="5">
        <v>874</v>
      </c>
      <c r="P12" s="25">
        <f t="shared" si="2"/>
        <v>22119</v>
      </c>
      <c r="Q12" s="5">
        <v>0</v>
      </c>
      <c r="R12" s="5">
        <v>0</v>
      </c>
      <c r="S12" s="5">
        <v>0</v>
      </c>
      <c r="T12" s="5">
        <v>0</v>
      </c>
      <c r="U12" s="25">
        <f t="shared" si="3"/>
        <v>0</v>
      </c>
      <c r="V12" s="5">
        <v>0</v>
      </c>
      <c r="W12" s="5">
        <v>0</v>
      </c>
      <c r="X12" s="5">
        <v>0</v>
      </c>
    </row>
    <row r="13" spans="1:24" x14ac:dyDescent="0.2">
      <c r="A13" s="4" t="s">
        <v>5</v>
      </c>
      <c r="B13" s="5">
        <v>220</v>
      </c>
      <c r="C13" s="5">
        <v>802</v>
      </c>
      <c r="D13" s="5">
        <v>0</v>
      </c>
      <c r="E13" s="5">
        <v>0</v>
      </c>
      <c r="F13" s="25">
        <f t="shared" si="0"/>
        <v>1022</v>
      </c>
      <c r="G13" s="5">
        <v>0</v>
      </c>
      <c r="H13" s="5">
        <v>0</v>
      </c>
      <c r="I13" s="5">
        <v>4978</v>
      </c>
      <c r="J13" s="5">
        <v>0</v>
      </c>
      <c r="K13" s="25">
        <f t="shared" si="1"/>
        <v>4978</v>
      </c>
      <c r="L13" s="5">
        <v>0</v>
      </c>
      <c r="M13" s="5">
        <v>0</v>
      </c>
      <c r="N13" s="5">
        <v>0</v>
      </c>
      <c r="O13" s="5">
        <v>0</v>
      </c>
      <c r="P13" s="25">
        <f t="shared" si="2"/>
        <v>0</v>
      </c>
      <c r="Q13" s="5">
        <v>0</v>
      </c>
      <c r="R13" s="5">
        <v>0</v>
      </c>
      <c r="S13" s="5">
        <v>0</v>
      </c>
      <c r="T13" s="5">
        <v>0</v>
      </c>
      <c r="U13" s="25">
        <f t="shared" si="3"/>
        <v>0</v>
      </c>
      <c r="V13" s="5">
        <v>0</v>
      </c>
      <c r="W13" s="5">
        <v>0</v>
      </c>
      <c r="X13" s="5">
        <v>0</v>
      </c>
    </row>
    <row r="14" spans="1:24" x14ac:dyDescent="0.2">
      <c r="A14" s="4" t="s">
        <v>153</v>
      </c>
      <c r="B14" s="5">
        <v>0</v>
      </c>
      <c r="C14" s="5">
        <v>0</v>
      </c>
      <c r="D14" s="5">
        <v>0</v>
      </c>
      <c r="E14" s="5">
        <v>0</v>
      </c>
      <c r="F14" s="25">
        <f t="shared" si="0"/>
        <v>0</v>
      </c>
      <c r="G14" s="5">
        <v>0</v>
      </c>
      <c r="H14" s="5">
        <v>-3265</v>
      </c>
      <c r="I14" s="5">
        <v>2080</v>
      </c>
      <c r="J14" s="5">
        <v>97</v>
      </c>
      <c r="K14" s="25">
        <f t="shared" si="1"/>
        <v>-1088</v>
      </c>
      <c r="L14" s="5">
        <v>0</v>
      </c>
      <c r="M14" s="5">
        <v>0</v>
      </c>
      <c r="N14" s="5">
        <v>0</v>
      </c>
      <c r="O14" s="5">
        <v>0</v>
      </c>
      <c r="P14" s="25">
        <f t="shared" si="2"/>
        <v>0</v>
      </c>
      <c r="Q14" s="5">
        <v>0</v>
      </c>
      <c r="R14" s="5">
        <v>0</v>
      </c>
      <c r="S14" s="5">
        <v>0</v>
      </c>
      <c r="T14" s="5">
        <v>0</v>
      </c>
      <c r="U14" s="25">
        <f t="shared" si="3"/>
        <v>0</v>
      </c>
      <c r="V14" s="5">
        <v>0</v>
      </c>
      <c r="W14" s="5">
        <v>0</v>
      </c>
      <c r="X14" s="5">
        <v>0</v>
      </c>
    </row>
    <row r="15" spans="1:24" x14ac:dyDescent="0.2">
      <c r="A15" s="4" t="s">
        <v>6</v>
      </c>
      <c r="B15" s="6">
        <v>0</v>
      </c>
      <c r="C15" s="6">
        <v>48522</v>
      </c>
      <c r="D15" s="6">
        <v>0</v>
      </c>
      <c r="E15" s="6">
        <v>0</v>
      </c>
      <c r="F15" s="26">
        <f t="shared" si="0"/>
        <v>48522</v>
      </c>
      <c r="G15" s="6">
        <v>0</v>
      </c>
      <c r="H15" s="6">
        <v>0</v>
      </c>
      <c r="I15" s="6">
        <v>0</v>
      </c>
      <c r="J15" s="6">
        <v>0</v>
      </c>
      <c r="K15" s="26">
        <f t="shared" si="1"/>
        <v>0</v>
      </c>
      <c r="L15" s="6">
        <v>0</v>
      </c>
      <c r="M15" s="6">
        <v>0</v>
      </c>
      <c r="N15" s="6">
        <v>0</v>
      </c>
      <c r="O15" s="6">
        <v>0</v>
      </c>
      <c r="P15" s="26">
        <f t="shared" si="2"/>
        <v>0</v>
      </c>
      <c r="Q15" s="6">
        <v>0</v>
      </c>
      <c r="R15" s="6">
        <v>0</v>
      </c>
      <c r="S15" s="6">
        <v>0</v>
      </c>
      <c r="T15" s="6">
        <v>0</v>
      </c>
      <c r="U15" s="26">
        <f t="shared" si="3"/>
        <v>0</v>
      </c>
      <c r="V15" s="6">
        <v>0</v>
      </c>
      <c r="W15" s="6">
        <v>0</v>
      </c>
      <c r="X15" s="6">
        <v>0</v>
      </c>
    </row>
    <row r="16" spans="1:24" x14ac:dyDescent="0.2">
      <c r="A16" s="7"/>
      <c r="B16" s="8">
        <f t="shared" ref="B16:P16" si="7">SUM(B9:B15)</f>
        <v>120728</v>
      </c>
      <c r="C16" s="8">
        <f t="shared" si="7"/>
        <v>173250</v>
      </c>
      <c r="D16" s="8">
        <f t="shared" si="7"/>
        <v>132748</v>
      </c>
      <c r="E16" s="8">
        <f t="shared" si="7"/>
        <v>127680</v>
      </c>
      <c r="F16" s="27">
        <f t="shared" si="7"/>
        <v>554406</v>
      </c>
      <c r="G16" s="8">
        <f t="shared" si="7"/>
        <v>123866</v>
      </c>
      <c r="H16" s="8">
        <f t="shared" si="7"/>
        <v>121170</v>
      </c>
      <c r="I16" s="8">
        <f t="shared" si="7"/>
        <v>145052</v>
      </c>
      <c r="J16" s="8">
        <f t="shared" si="7"/>
        <v>136600</v>
      </c>
      <c r="K16" s="27">
        <f t="shared" si="7"/>
        <v>526688</v>
      </c>
      <c r="L16" s="8">
        <f t="shared" si="7"/>
        <v>172066</v>
      </c>
      <c r="M16" s="8">
        <f t="shared" si="7"/>
        <v>198816</v>
      </c>
      <c r="N16" s="8">
        <f t="shared" si="7"/>
        <v>211457</v>
      </c>
      <c r="O16" s="8">
        <f t="shared" si="7"/>
        <v>207286</v>
      </c>
      <c r="P16" s="27">
        <f t="shared" si="7"/>
        <v>789625</v>
      </c>
      <c r="Q16" s="8">
        <f>SUM(Q9:Q15)</f>
        <v>161609</v>
      </c>
      <c r="R16" s="8">
        <f>SUM(R9:R15)</f>
        <v>190625</v>
      </c>
      <c r="S16" s="8">
        <f>SUM(S9:S15)</f>
        <v>195106</v>
      </c>
      <c r="T16" s="8">
        <f>SUM(T9:T15)</f>
        <v>183475</v>
      </c>
      <c r="U16" s="27">
        <f t="shared" ref="U16" si="8">SUM(U9:U15)</f>
        <v>730815</v>
      </c>
      <c r="V16" s="8">
        <f>SUM(V9:V15)</f>
        <v>186253</v>
      </c>
      <c r="W16" s="8">
        <f>SUM(W9:W15)</f>
        <v>166647</v>
      </c>
      <c r="X16" s="8">
        <f>SUM(X9:X15)</f>
        <v>203085</v>
      </c>
    </row>
    <row r="17" spans="1:24" x14ac:dyDescent="0.2">
      <c r="A17" s="9" t="s">
        <v>139</v>
      </c>
      <c r="B17" s="10">
        <f t="shared" ref="B17:P17" si="9">B7-B16</f>
        <v>7168</v>
      </c>
      <c r="C17" s="10">
        <f t="shared" si="9"/>
        <v>-31755</v>
      </c>
      <c r="D17" s="10">
        <f t="shared" si="9"/>
        <v>41279</v>
      </c>
      <c r="E17" s="10">
        <f t="shared" si="9"/>
        <v>28001</v>
      </c>
      <c r="F17" s="28">
        <f t="shared" si="9"/>
        <v>44693</v>
      </c>
      <c r="G17" s="10">
        <f t="shared" si="9"/>
        <v>25815</v>
      </c>
      <c r="H17" s="10">
        <f t="shared" si="9"/>
        <v>42059</v>
      </c>
      <c r="I17" s="10">
        <f t="shared" si="9"/>
        <v>45389</v>
      </c>
      <c r="J17" s="10">
        <f t="shared" si="9"/>
        <v>38644</v>
      </c>
      <c r="K17" s="28">
        <f t="shared" si="9"/>
        <v>151907</v>
      </c>
      <c r="L17" s="10">
        <f t="shared" si="9"/>
        <v>27831</v>
      </c>
      <c r="M17" s="10">
        <f t="shared" si="9"/>
        <v>69417</v>
      </c>
      <c r="N17" s="10">
        <f t="shared" si="9"/>
        <v>77742</v>
      </c>
      <c r="O17" s="10">
        <f t="shared" si="9"/>
        <v>9964</v>
      </c>
      <c r="P17" s="28">
        <f t="shared" si="9"/>
        <v>184954</v>
      </c>
      <c r="Q17" s="10">
        <f>Q7-Q16</f>
        <v>20107</v>
      </c>
      <c r="R17" s="10">
        <f>R7-R16</f>
        <v>24956</v>
      </c>
      <c r="S17" s="10">
        <f>S7-S16</f>
        <v>31196</v>
      </c>
      <c r="T17" s="10">
        <f>T7-T16</f>
        <v>20024</v>
      </c>
      <c r="U17" s="28">
        <f t="shared" ref="U17" si="10">U7-U16</f>
        <v>96283</v>
      </c>
      <c r="V17" s="10">
        <f>V7-V16</f>
        <v>22627</v>
      </c>
      <c r="W17" s="10">
        <f>W7-W16</f>
        <v>14908</v>
      </c>
      <c r="X17" s="10">
        <f>X7-X16</f>
        <v>109961</v>
      </c>
    </row>
    <row r="18" spans="1:24" x14ac:dyDescent="0.2">
      <c r="A18" s="9" t="s">
        <v>7</v>
      </c>
      <c r="B18" s="11">
        <v>-6025</v>
      </c>
      <c r="C18" s="11">
        <v>-8206</v>
      </c>
      <c r="D18" s="11">
        <v>-7786</v>
      </c>
      <c r="E18" s="11">
        <v>-6924</v>
      </c>
      <c r="F18" s="29">
        <f t="shared" ref="F18:F21" si="11">SUM(B18:E18)</f>
        <v>-28941</v>
      </c>
      <c r="G18" s="11">
        <v>-4970</v>
      </c>
      <c r="H18" s="11">
        <v>-7348</v>
      </c>
      <c r="I18" s="11">
        <v>-7336</v>
      </c>
      <c r="J18" s="11">
        <v>-7395</v>
      </c>
      <c r="K18" s="29">
        <f t="shared" ref="K18:K21" si="12">SUM(G18:J18)</f>
        <v>-27049</v>
      </c>
      <c r="L18" s="11">
        <v>-5660</v>
      </c>
      <c r="M18" s="11">
        <v>-9356</v>
      </c>
      <c r="N18" s="11">
        <v>-10109</v>
      </c>
      <c r="O18" s="11">
        <v>-10102</v>
      </c>
      <c r="P18" s="29">
        <f>SUM(L18:O18)</f>
        <v>-35227</v>
      </c>
      <c r="Q18" s="11">
        <v>-5464</v>
      </c>
      <c r="R18" s="11">
        <v>-7882</v>
      </c>
      <c r="S18" s="11">
        <v>-8475</v>
      </c>
      <c r="T18" s="11">
        <v>-8540</v>
      </c>
      <c r="U18" s="29">
        <f>SUM(Q18:T18)</f>
        <v>-30361</v>
      </c>
      <c r="V18" s="11">
        <v>-3698</v>
      </c>
      <c r="W18" s="11">
        <v>-8339</v>
      </c>
      <c r="X18" s="11">
        <v>-8557</v>
      </c>
    </row>
    <row r="19" spans="1:24" ht="14.25" x14ac:dyDescent="0.2">
      <c r="A19" s="9" t="s">
        <v>172</v>
      </c>
      <c r="B19" s="11">
        <v>0</v>
      </c>
      <c r="C19" s="11">
        <v>0</v>
      </c>
      <c r="D19" s="11">
        <v>0</v>
      </c>
      <c r="E19" s="11">
        <v>0</v>
      </c>
      <c r="F19" s="29">
        <f t="shared" ref="F19:F20" si="13">SUM(B19:E19)</f>
        <v>0</v>
      </c>
      <c r="G19" s="11">
        <v>0</v>
      </c>
      <c r="H19" s="11">
        <v>0</v>
      </c>
      <c r="I19" s="11">
        <v>0</v>
      </c>
      <c r="J19" s="11">
        <v>0</v>
      </c>
      <c r="K19" s="29">
        <f t="shared" ref="K19:K20" si="14">SUM(G19:J19)</f>
        <v>0</v>
      </c>
      <c r="L19" s="11">
        <v>0</v>
      </c>
      <c r="M19" s="11">
        <v>0</v>
      </c>
      <c r="N19" s="11">
        <v>0</v>
      </c>
      <c r="O19" s="11">
        <v>0</v>
      </c>
      <c r="P19" s="29">
        <f>SUM(L19:O19)</f>
        <v>0</v>
      </c>
      <c r="Q19" s="11">
        <v>-5512</v>
      </c>
      <c r="R19" s="11">
        <v>0</v>
      </c>
      <c r="S19" s="11">
        <v>0</v>
      </c>
      <c r="T19" s="11">
        <v>0</v>
      </c>
      <c r="U19" s="29">
        <f>SUM(Q19:T19)</f>
        <v>-5512</v>
      </c>
      <c r="V19" s="11">
        <v>0</v>
      </c>
      <c r="W19" s="11">
        <v>0</v>
      </c>
      <c r="X19" s="11">
        <v>0</v>
      </c>
    </row>
    <row r="20" spans="1:24" ht="14.25" x14ac:dyDescent="0.2">
      <c r="A20" s="9" t="s">
        <v>186</v>
      </c>
      <c r="B20" s="11">
        <v>0</v>
      </c>
      <c r="C20" s="11">
        <v>0</v>
      </c>
      <c r="D20" s="11">
        <v>0</v>
      </c>
      <c r="E20" s="11">
        <v>0</v>
      </c>
      <c r="F20" s="29">
        <f t="shared" si="13"/>
        <v>0</v>
      </c>
      <c r="G20" s="11">
        <v>0</v>
      </c>
      <c r="H20" s="11">
        <v>0</v>
      </c>
      <c r="I20" s="11">
        <v>0</v>
      </c>
      <c r="J20" s="11">
        <v>0</v>
      </c>
      <c r="K20" s="29">
        <f t="shared" si="14"/>
        <v>0</v>
      </c>
      <c r="L20" s="11">
        <v>0</v>
      </c>
      <c r="M20" s="11">
        <v>0</v>
      </c>
      <c r="N20" s="11">
        <v>0</v>
      </c>
      <c r="O20" s="11">
        <v>0</v>
      </c>
      <c r="P20" s="29">
        <f>SUM(L20:O20)</f>
        <v>0</v>
      </c>
      <c r="Q20" s="11">
        <v>0</v>
      </c>
      <c r="R20" s="11">
        <v>0</v>
      </c>
      <c r="S20" s="11">
        <v>0</v>
      </c>
      <c r="T20" s="11">
        <v>0</v>
      </c>
      <c r="U20" s="29">
        <f>SUM(Q20:T20)</f>
        <v>0</v>
      </c>
      <c r="V20" s="11">
        <v>-42988</v>
      </c>
      <c r="W20" s="11">
        <v>0</v>
      </c>
      <c r="X20" s="11">
        <v>0</v>
      </c>
    </row>
    <row r="21" spans="1:24" x14ac:dyDescent="0.2">
      <c r="A21" s="9" t="s">
        <v>8</v>
      </c>
      <c r="B21" s="6">
        <f>-2096</f>
        <v>-2096</v>
      </c>
      <c r="C21" s="6">
        <f>-2473</f>
        <v>-2473</v>
      </c>
      <c r="D21" s="6">
        <f>-2285</f>
        <v>-2285</v>
      </c>
      <c r="E21" s="6">
        <f>-2285</f>
        <v>-2285</v>
      </c>
      <c r="F21" s="26">
        <f t="shared" si="11"/>
        <v>-9139</v>
      </c>
      <c r="G21" s="6">
        <v>-1906</v>
      </c>
      <c r="H21" s="6">
        <v>-1286</v>
      </c>
      <c r="I21" s="6">
        <v>-1596</v>
      </c>
      <c r="J21" s="6">
        <v>-1596</v>
      </c>
      <c r="K21" s="26">
        <f t="shared" si="12"/>
        <v>-6384</v>
      </c>
      <c r="L21" s="6">
        <v>-1857</v>
      </c>
      <c r="M21" s="6">
        <v>-1908</v>
      </c>
      <c r="N21" s="6">
        <v>-1942</v>
      </c>
      <c r="O21" s="6">
        <v>-1941</v>
      </c>
      <c r="P21" s="26">
        <f t="shared" ref="P21" si="15">SUM(L21:O21)</f>
        <v>-7648</v>
      </c>
      <c r="Q21" s="6">
        <v>-980</v>
      </c>
      <c r="R21" s="6">
        <v>-889</v>
      </c>
      <c r="S21" s="6">
        <v>-935</v>
      </c>
      <c r="T21" s="6">
        <v>-935</v>
      </c>
      <c r="U21" s="26">
        <f t="shared" ref="U21" si="16">SUM(Q21:T21)</f>
        <v>-3739</v>
      </c>
      <c r="V21" s="6">
        <v>-3635</v>
      </c>
      <c r="W21" s="6">
        <v>-3478</v>
      </c>
      <c r="X21" s="6">
        <v>-3557</v>
      </c>
    </row>
    <row r="22" spans="1:24" x14ac:dyDescent="0.2">
      <c r="A22" s="9" t="s">
        <v>140</v>
      </c>
      <c r="B22" s="10">
        <f t="shared" ref="B22:V22" si="17">B17+B18+B19+B21+B20</f>
        <v>-953</v>
      </c>
      <c r="C22" s="10">
        <f t="shared" si="17"/>
        <v>-42434</v>
      </c>
      <c r="D22" s="10">
        <f t="shared" si="17"/>
        <v>31208</v>
      </c>
      <c r="E22" s="10">
        <f t="shared" si="17"/>
        <v>18792</v>
      </c>
      <c r="F22" s="28">
        <f t="shared" si="17"/>
        <v>6613</v>
      </c>
      <c r="G22" s="10">
        <f t="shared" si="17"/>
        <v>18939</v>
      </c>
      <c r="H22" s="10">
        <f t="shared" si="17"/>
        <v>33425</v>
      </c>
      <c r="I22" s="10">
        <f t="shared" si="17"/>
        <v>36457</v>
      </c>
      <c r="J22" s="10">
        <f t="shared" si="17"/>
        <v>29653</v>
      </c>
      <c r="K22" s="28">
        <f t="shared" si="17"/>
        <v>118474</v>
      </c>
      <c r="L22" s="10">
        <f t="shared" si="17"/>
        <v>20314</v>
      </c>
      <c r="M22" s="10">
        <f t="shared" si="17"/>
        <v>58153</v>
      </c>
      <c r="N22" s="10">
        <f t="shared" si="17"/>
        <v>65691</v>
      </c>
      <c r="O22" s="10">
        <f t="shared" si="17"/>
        <v>-2079</v>
      </c>
      <c r="P22" s="28">
        <f t="shared" si="17"/>
        <v>142079</v>
      </c>
      <c r="Q22" s="10">
        <f t="shared" si="17"/>
        <v>8151</v>
      </c>
      <c r="R22" s="10">
        <f t="shared" si="17"/>
        <v>16185</v>
      </c>
      <c r="S22" s="10">
        <f t="shared" si="17"/>
        <v>21786</v>
      </c>
      <c r="T22" s="10">
        <f t="shared" si="17"/>
        <v>10549</v>
      </c>
      <c r="U22" s="28">
        <f t="shared" si="17"/>
        <v>56671</v>
      </c>
      <c r="V22" s="10">
        <f t="shared" si="17"/>
        <v>-27694</v>
      </c>
      <c r="W22" s="10">
        <f t="shared" ref="W22:X22" si="18">W17+W18+W19+W21+W20</f>
        <v>3091</v>
      </c>
      <c r="X22" s="10">
        <f t="shared" si="18"/>
        <v>97847</v>
      </c>
    </row>
    <row r="23" spans="1:24" x14ac:dyDescent="0.2">
      <c r="A23" s="9" t="s">
        <v>9</v>
      </c>
      <c r="B23" s="5">
        <v>1110</v>
      </c>
      <c r="C23" s="5">
        <v>11196</v>
      </c>
      <c r="D23" s="5">
        <v>-3562</v>
      </c>
      <c r="E23" s="5">
        <v>-4419</v>
      </c>
      <c r="F23" s="25">
        <f>SUM(B23:E23)</f>
        <v>4325</v>
      </c>
      <c r="G23" s="5">
        <v>-2018</v>
      </c>
      <c r="H23" s="5">
        <v>-9181</v>
      </c>
      <c r="I23" s="5">
        <v>-2757</v>
      </c>
      <c r="J23" s="5">
        <v>-18065</v>
      </c>
      <c r="K23" s="25">
        <f>SUM(G23:J23)</f>
        <v>-32021</v>
      </c>
      <c r="L23" s="5">
        <v>-5717</v>
      </c>
      <c r="M23" s="5">
        <v>-12005</v>
      </c>
      <c r="N23" s="5">
        <v>-5355</v>
      </c>
      <c r="O23" s="5">
        <v>3878</v>
      </c>
      <c r="P23" s="25">
        <f>SUM(L23:O23)</f>
        <v>-19199</v>
      </c>
      <c r="Q23" s="5">
        <v>-1591</v>
      </c>
      <c r="R23" s="5">
        <v>952</v>
      </c>
      <c r="S23" s="5">
        <v>-1221</v>
      </c>
      <c r="T23" s="5">
        <v>850</v>
      </c>
      <c r="U23" s="25">
        <f>SUM(Q23:T23)</f>
        <v>-1010</v>
      </c>
      <c r="V23" s="5">
        <v>10862</v>
      </c>
      <c r="W23" s="5">
        <v>-453</v>
      </c>
      <c r="X23" s="5">
        <v>-16840</v>
      </c>
    </row>
    <row r="24" spans="1:24" ht="13.5" thickBot="1" x14ac:dyDescent="0.25">
      <c r="A24" s="1" t="s">
        <v>141</v>
      </c>
      <c r="B24" s="12">
        <f t="shared" ref="B24:P24" si="19">B22+B23</f>
        <v>157</v>
      </c>
      <c r="C24" s="12">
        <f t="shared" si="19"/>
        <v>-31238</v>
      </c>
      <c r="D24" s="12">
        <f t="shared" si="19"/>
        <v>27646</v>
      </c>
      <c r="E24" s="12">
        <f t="shared" si="19"/>
        <v>14373</v>
      </c>
      <c r="F24" s="30">
        <f t="shared" si="19"/>
        <v>10938</v>
      </c>
      <c r="G24" s="12">
        <f t="shared" si="19"/>
        <v>16921</v>
      </c>
      <c r="H24" s="12">
        <f t="shared" si="19"/>
        <v>24244</v>
      </c>
      <c r="I24" s="12">
        <f t="shared" si="19"/>
        <v>33700</v>
      </c>
      <c r="J24" s="12">
        <f t="shared" si="19"/>
        <v>11588</v>
      </c>
      <c r="K24" s="30">
        <f t="shared" si="19"/>
        <v>86453</v>
      </c>
      <c r="L24" s="12">
        <f t="shared" si="19"/>
        <v>14597</v>
      </c>
      <c r="M24" s="12">
        <f t="shared" si="19"/>
        <v>46148</v>
      </c>
      <c r="N24" s="12">
        <f t="shared" si="19"/>
        <v>60336</v>
      </c>
      <c r="O24" s="12">
        <f t="shared" si="19"/>
        <v>1799</v>
      </c>
      <c r="P24" s="30">
        <f t="shared" si="19"/>
        <v>122880</v>
      </c>
      <c r="Q24" s="12">
        <f t="shared" ref="Q24:R24" si="20">Q22+Q23</f>
        <v>6560</v>
      </c>
      <c r="R24" s="12">
        <f t="shared" si="20"/>
        <v>17137</v>
      </c>
      <c r="S24" s="12">
        <f t="shared" ref="S24:U24" si="21">S22+S23</f>
        <v>20565</v>
      </c>
      <c r="T24" s="12">
        <f t="shared" si="21"/>
        <v>11399</v>
      </c>
      <c r="U24" s="30">
        <f t="shared" si="21"/>
        <v>55661</v>
      </c>
      <c r="V24" s="12">
        <f t="shared" ref="V24:W24" si="22">V22+V23</f>
        <v>-16832</v>
      </c>
      <c r="W24" s="12">
        <f t="shared" si="22"/>
        <v>2638</v>
      </c>
      <c r="X24" s="12">
        <f t="shared" ref="X24" si="23">X22+X23</f>
        <v>81007</v>
      </c>
    </row>
    <row r="25" spans="1:24" ht="13.5" thickTop="1" x14ac:dyDescent="0.2">
      <c r="A25" s="1"/>
      <c r="B25" s="13"/>
      <c r="C25" s="13"/>
      <c r="D25" s="13"/>
      <c r="E25" s="13"/>
      <c r="F25" s="13"/>
      <c r="G25" s="13"/>
      <c r="H25" s="13"/>
      <c r="I25" s="13"/>
      <c r="J25" s="13"/>
      <c r="K25" s="13"/>
      <c r="L25" s="13"/>
      <c r="M25" s="13"/>
      <c r="N25" s="13"/>
      <c r="O25" s="13"/>
      <c r="P25" s="13"/>
      <c r="Q25" s="13"/>
      <c r="R25" s="13"/>
      <c r="S25" s="13"/>
      <c r="T25" s="13"/>
      <c r="U25" s="13"/>
      <c r="V25" s="13"/>
      <c r="W25" s="13"/>
      <c r="X25" s="13"/>
    </row>
    <row r="26" spans="1:24" x14ac:dyDescent="0.2">
      <c r="A26" s="1" t="s">
        <v>11</v>
      </c>
      <c r="B26" s="46"/>
      <c r="C26" s="46"/>
      <c r="D26" s="46"/>
      <c r="E26" s="46"/>
      <c r="F26" s="46"/>
      <c r="G26" s="3"/>
      <c r="H26" s="3"/>
      <c r="I26" s="3"/>
      <c r="J26" s="3"/>
      <c r="K26" s="24"/>
      <c r="L26" s="3"/>
      <c r="M26" s="3"/>
      <c r="N26" s="3"/>
      <c r="O26" s="3"/>
      <c r="P26" s="24"/>
      <c r="Q26" s="3"/>
      <c r="R26" s="3"/>
      <c r="S26" s="3"/>
      <c r="T26" s="3"/>
      <c r="U26" s="24"/>
      <c r="V26" s="3"/>
      <c r="W26" s="3"/>
      <c r="X26" s="3"/>
    </row>
    <row r="27" spans="1:24" x14ac:dyDescent="0.2">
      <c r="A27" s="14" t="s">
        <v>12</v>
      </c>
      <c r="B27" s="15">
        <v>0</v>
      </c>
      <c r="C27" s="15">
        <v>-0.77</v>
      </c>
      <c r="D27" s="15">
        <v>0.68</v>
      </c>
      <c r="E27" s="15">
        <v>0.35</v>
      </c>
      <c r="F27" s="32">
        <v>0.27</v>
      </c>
      <c r="G27" s="15">
        <v>0.41</v>
      </c>
      <c r="H27" s="15">
        <v>0.59</v>
      </c>
      <c r="I27" s="15">
        <v>0.83</v>
      </c>
      <c r="J27" s="15">
        <v>0.28000000000000003</v>
      </c>
      <c r="K27" s="32">
        <v>2.12</v>
      </c>
      <c r="L27" s="15">
        <v>0.28999999999999998</v>
      </c>
      <c r="M27" s="15">
        <v>0.73</v>
      </c>
      <c r="N27" s="15">
        <v>0.96</v>
      </c>
      <c r="O27" s="15">
        <v>0.03</v>
      </c>
      <c r="P27" s="32">
        <v>2.0299999999999998</v>
      </c>
      <c r="Q27" s="15">
        <v>0.1</v>
      </c>
      <c r="R27" s="15">
        <v>0.25</v>
      </c>
      <c r="S27" s="15">
        <v>0.3</v>
      </c>
      <c r="T27" s="15">
        <v>0.17</v>
      </c>
      <c r="U27" s="32">
        <v>0.82</v>
      </c>
      <c r="V27" s="15">
        <v>-0.25</v>
      </c>
      <c r="W27" s="15">
        <v>0.04</v>
      </c>
      <c r="X27" s="15">
        <v>1.21</v>
      </c>
    </row>
    <row r="28" spans="1:24" x14ac:dyDescent="0.2">
      <c r="A28" s="14" t="s">
        <v>13</v>
      </c>
      <c r="B28" s="15">
        <v>0</v>
      </c>
      <c r="C28" s="15">
        <v>-0.77</v>
      </c>
      <c r="D28" s="15">
        <v>0.68</v>
      </c>
      <c r="E28" s="15">
        <v>0.35</v>
      </c>
      <c r="F28" s="32">
        <v>0.27</v>
      </c>
      <c r="G28" s="15">
        <v>0.41</v>
      </c>
      <c r="H28" s="15">
        <v>0.59</v>
      </c>
      <c r="I28" s="15">
        <v>0.82</v>
      </c>
      <c r="J28" s="15">
        <v>0.28000000000000003</v>
      </c>
      <c r="K28" s="32">
        <v>2.1</v>
      </c>
      <c r="L28" s="15">
        <v>0.28999999999999998</v>
      </c>
      <c r="M28" s="15">
        <v>0.73</v>
      </c>
      <c r="N28" s="15">
        <v>0.93</v>
      </c>
      <c r="O28" s="15">
        <v>0.03</v>
      </c>
      <c r="P28" s="32">
        <v>1.99</v>
      </c>
      <c r="Q28" s="15">
        <v>0.1</v>
      </c>
      <c r="R28" s="15">
        <v>0.25</v>
      </c>
      <c r="S28" s="15">
        <v>0.3</v>
      </c>
      <c r="T28" s="15">
        <v>0.17</v>
      </c>
      <c r="U28" s="32">
        <v>0.82</v>
      </c>
      <c r="V28" s="15">
        <v>-0.25</v>
      </c>
      <c r="W28" s="15">
        <v>0.04</v>
      </c>
      <c r="X28" s="15">
        <v>1.2</v>
      </c>
    </row>
    <row r="29" spans="1:24" x14ac:dyDescent="0.2">
      <c r="A29" s="1" t="s">
        <v>14</v>
      </c>
      <c r="B29" s="16">
        <v>0.375</v>
      </c>
      <c r="C29" s="16">
        <v>0.375</v>
      </c>
      <c r="D29" s="16">
        <v>0.375</v>
      </c>
      <c r="E29" s="16">
        <v>0.375</v>
      </c>
      <c r="F29" s="32">
        <v>1.5</v>
      </c>
      <c r="G29" s="16">
        <v>0.375</v>
      </c>
      <c r="H29" s="16">
        <v>0.375</v>
      </c>
      <c r="I29" s="16">
        <v>0.375</v>
      </c>
      <c r="J29" s="15">
        <v>0.4</v>
      </c>
      <c r="K29" s="33">
        <v>1.5249999999999999</v>
      </c>
      <c r="L29" s="15">
        <v>0.4</v>
      </c>
      <c r="M29" s="15">
        <v>0.4</v>
      </c>
      <c r="N29" s="15">
        <v>0.4</v>
      </c>
      <c r="O29" s="15">
        <v>0.4</v>
      </c>
      <c r="P29" s="32">
        <v>1.6</v>
      </c>
      <c r="Q29" s="15">
        <v>0.4</v>
      </c>
      <c r="R29" s="15">
        <v>0.4</v>
      </c>
      <c r="S29" s="15">
        <v>0.4</v>
      </c>
      <c r="T29" s="15">
        <v>0.4</v>
      </c>
      <c r="U29" s="32">
        <v>1.6</v>
      </c>
      <c r="V29" s="15">
        <v>0.4</v>
      </c>
      <c r="W29" s="15">
        <v>0.4</v>
      </c>
      <c r="X29" s="15">
        <v>0.4</v>
      </c>
    </row>
    <row r="30" spans="1:24" ht="14.25" x14ac:dyDescent="0.2">
      <c r="A30" s="1" t="s">
        <v>126</v>
      </c>
      <c r="B30" s="16">
        <v>0</v>
      </c>
      <c r="C30" s="16">
        <v>0</v>
      </c>
      <c r="D30" s="16">
        <v>0</v>
      </c>
      <c r="E30" s="16">
        <v>0</v>
      </c>
      <c r="F30" s="32">
        <v>0</v>
      </c>
      <c r="G30" s="16">
        <v>0</v>
      </c>
      <c r="H30" s="16">
        <v>0</v>
      </c>
      <c r="I30" s="16">
        <v>0</v>
      </c>
      <c r="J30" s="15">
        <v>0</v>
      </c>
      <c r="K30" s="33">
        <v>0</v>
      </c>
      <c r="L30" s="15">
        <v>0</v>
      </c>
      <c r="M30" s="15">
        <v>0</v>
      </c>
      <c r="N30" s="15">
        <v>0</v>
      </c>
      <c r="O30" s="15">
        <v>3.54</v>
      </c>
      <c r="P30" s="32">
        <v>3.54</v>
      </c>
      <c r="Q30" s="15">
        <v>0</v>
      </c>
      <c r="R30" s="15">
        <v>0</v>
      </c>
      <c r="S30" s="15">
        <v>0</v>
      </c>
      <c r="T30" s="15">
        <v>0</v>
      </c>
      <c r="U30" s="32">
        <v>0</v>
      </c>
      <c r="V30" s="15">
        <v>0</v>
      </c>
      <c r="W30" s="15">
        <v>0</v>
      </c>
      <c r="X30" s="15">
        <v>0</v>
      </c>
    </row>
    <row r="31" spans="1:24" x14ac:dyDescent="0.2">
      <c r="A31" s="1" t="s">
        <v>15</v>
      </c>
      <c r="B31" s="15"/>
      <c r="C31" s="15"/>
      <c r="D31" s="15"/>
      <c r="E31" s="15"/>
      <c r="F31" s="32"/>
      <c r="G31" s="15"/>
      <c r="H31" s="15"/>
      <c r="I31" s="15"/>
      <c r="J31" s="15"/>
      <c r="K31" s="32"/>
      <c r="L31" s="15"/>
      <c r="M31" s="15" t="s">
        <v>16</v>
      </c>
      <c r="N31" s="15" t="s">
        <v>16</v>
      </c>
      <c r="O31" s="15"/>
      <c r="P31" s="32"/>
      <c r="Q31" s="15"/>
      <c r="R31" s="15"/>
      <c r="S31" s="15"/>
      <c r="T31" s="15"/>
      <c r="U31" s="32"/>
      <c r="V31" s="15"/>
      <c r="W31" s="15"/>
      <c r="X31" s="15"/>
    </row>
    <row r="32" spans="1:24" x14ac:dyDescent="0.2">
      <c r="A32" s="14" t="s">
        <v>12</v>
      </c>
      <c r="B32" s="5">
        <v>40875.178999999996</v>
      </c>
      <c r="C32" s="5">
        <v>40784</v>
      </c>
      <c r="D32" s="5">
        <v>40740</v>
      </c>
      <c r="E32" s="5">
        <v>40752</v>
      </c>
      <c r="F32" s="25">
        <v>40798</v>
      </c>
      <c r="G32" s="5">
        <v>40777.900999999998</v>
      </c>
      <c r="H32" s="5">
        <v>40822.726000000002</v>
      </c>
      <c r="I32" s="5">
        <v>40829.398999999998</v>
      </c>
      <c r="J32" s="5">
        <v>40839</v>
      </c>
      <c r="K32" s="25">
        <v>40824.42</v>
      </c>
      <c r="L32" s="5">
        <v>50424.91</v>
      </c>
      <c r="M32" s="5">
        <v>62979.66</v>
      </c>
      <c r="N32" s="5">
        <v>62985.517</v>
      </c>
      <c r="O32" s="5">
        <v>65486</v>
      </c>
      <c r="P32" s="25">
        <v>60534</v>
      </c>
      <c r="Q32" s="5">
        <v>67860</v>
      </c>
      <c r="R32" s="5">
        <v>67664</v>
      </c>
      <c r="S32" s="5">
        <v>67446</v>
      </c>
      <c r="T32" s="5">
        <v>67476</v>
      </c>
      <c r="U32" s="25">
        <v>67608</v>
      </c>
      <c r="V32" s="5">
        <v>67478</v>
      </c>
      <c r="W32" s="5">
        <v>67176</v>
      </c>
      <c r="X32" s="5">
        <v>67149</v>
      </c>
    </row>
    <row r="33" spans="1:24" x14ac:dyDescent="0.2">
      <c r="A33" s="14" t="s">
        <v>13</v>
      </c>
      <c r="B33" s="5">
        <v>40959.675000000003</v>
      </c>
      <c r="C33" s="5">
        <v>40784</v>
      </c>
      <c r="D33" s="5">
        <v>40933</v>
      </c>
      <c r="E33" s="5">
        <v>41069</v>
      </c>
      <c r="F33" s="25">
        <v>41033</v>
      </c>
      <c r="G33" s="5">
        <v>41070.608999999997</v>
      </c>
      <c r="H33" s="5">
        <v>41218.968999999997</v>
      </c>
      <c r="I33" s="5">
        <v>41250.457000000002</v>
      </c>
      <c r="J33" s="5">
        <v>41301</v>
      </c>
      <c r="K33" s="25">
        <v>41227.387999999999</v>
      </c>
      <c r="L33" s="5">
        <v>50786.184000000001</v>
      </c>
      <c r="M33" s="5">
        <v>63316.290999999997</v>
      </c>
      <c r="N33" s="5">
        <v>64721.656999999999</v>
      </c>
      <c r="O33" s="5">
        <v>68110</v>
      </c>
      <c r="P33" s="25">
        <v>61814</v>
      </c>
      <c r="Q33" s="5">
        <v>67916</v>
      </c>
      <c r="R33" s="5">
        <v>67713</v>
      </c>
      <c r="S33" s="5">
        <v>67545</v>
      </c>
      <c r="T33" s="5">
        <v>67695</v>
      </c>
      <c r="U33" s="25">
        <v>67743</v>
      </c>
      <c r="V33" s="5">
        <v>67478</v>
      </c>
      <c r="W33" s="5">
        <v>67359</v>
      </c>
      <c r="X33" s="5">
        <v>67528</v>
      </c>
    </row>
    <row r="34" spans="1:24" x14ac:dyDescent="0.2">
      <c r="A34" s="14"/>
      <c r="B34" s="5"/>
      <c r="C34" s="5"/>
      <c r="D34" s="5"/>
      <c r="E34" s="5"/>
      <c r="F34" s="25"/>
      <c r="G34" s="5"/>
      <c r="H34" s="5"/>
      <c r="I34" s="5"/>
      <c r="J34" s="5"/>
      <c r="K34" s="25"/>
      <c r="L34" s="5"/>
      <c r="M34" s="5"/>
      <c r="N34" s="5"/>
      <c r="O34" s="5"/>
      <c r="P34" s="25"/>
      <c r="Q34" s="5"/>
      <c r="R34" s="5"/>
      <c r="S34" s="5"/>
      <c r="T34" s="5"/>
      <c r="U34" s="25"/>
      <c r="V34" s="5"/>
      <c r="W34" s="5"/>
      <c r="X34" s="5"/>
    </row>
    <row r="35" spans="1:24" ht="14.25" x14ac:dyDescent="0.2">
      <c r="A35" s="1" t="s">
        <v>142</v>
      </c>
      <c r="B35" s="5"/>
      <c r="C35" s="5"/>
      <c r="D35" s="5"/>
      <c r="E35" s="5"/>
      <c r="F35" s="25"/>
      <c r="G35" s="5"/>
      <c r="H35" s="5"/>
      <c r="I35" s="5"/>
      <c r="J35" s="5"/>
      <c r="K35" s="25"/>
      <c r="L35" s="5"/>
      <c r="M35" s="5"/>
      <c r="N35" s="5"/>
      <c r="O35" s="5"/>
      <c r="P35" s="25"/>
      <c r="Q35" s="5"/>
      <c r="R35" s="5"/>
      <c r="S35" s="5"/>
      <c r="T35" s="5"/>
      <c r="U35" s="25"/>
      <c r="V35" s="5"/>
      <c r="W35" s="5"/>
      <c r="X35" s="5"/>
    </row>
    <row r="36" spans="1:24" x14ac:dyDescent="0.2">
      <c r="A36" s="9" t="s">
        <v>10</v>
      </c>
      <c r="B36" s="35">
        <f>B24</f>
        <v>157</v>
      </c>
      <c r="C36" s="35">
        <f>C24</f>
        <v>-31238</v>
      </c>
      <c r="D36" s="35">
        <f>D24</f>
        <v>27646</v>
      </c>
      <c r="E36" s="35">
        <f>E24</f>
        <v>14373</v>
      </c>
      <c r="F36" s="34">
        <f>SUM(B36:E36)</f>
        <v>10938</v>
      </c>
      <c r="G36" s="35">
        <f>G24</f>
        <v>16921</v>
      </c>
      <c r="H36" s="35">
        <f>H24</f>
        <v>24244</v>
      </c>
      <c r="I36" s="35">
        <f>I24</f>
        <v>33700</v>
      </c>
      <c r="J36" s="35">
        <f>J24</f>
        <v>11588</v>
      </c>
      <c r="K36" s="34">
        <f>SUM(G36:J36)</f>
        <v>86453</v>
      </c>
      <c r="L36" s="35">
        <f>L24</f>
        <v>14597</v>
      </c>
      <c r="M36" s="35">
        <f>M24</f>
        <v>46148</v>
      </c>
      <c r="N36" s="35">
        <f>N24</f>
        <v>60336</v>
      </c>
      <c r="O36" s="35">
        <f>O24</f>
        <v>1799</v>
      </c>
      <c r="P36" s="34">
        <f>SUM(L36:O36)</f>
        <v>122880</v>
      </c>
      <c r="Q36" s="35">
        <f>Q24</f>
        <v>6560</v>
      </c>
      <c r="R36" s="35">
        <f>R24</f>
        <v>17137</v>
      </c>
      <c r="S36" s="35">
        <f>S24</f>
        <v>20565</v>
      </c>
      <c r="T36" s="35">
        <f>T24</f>
        <v>11399</v>
      </c>
      <c r="U36" s="34">
        <f>SUM(Q36:T36)</f>
        <v>55661</v>
      </c>
      <c r="V36" s="35">
        <f>V24</f>
        <v>-16832</v>
      </c>
      <c r="W36" s="35">
        <f>W24</f>
        <v>2638</v>
      </c>
      <c r="X36" s="35">
        <f>X24</f>
        <v>81007</v>
      </c>
    </row>
    <row r="37" spans="1:24" x14ac:dyDescent="0.2">
      <c r="A37" s="14" t="s">
        <v>95</v>
      </c>
      <c r="B37" s="5">
        <f>-B18</f>
        <v>6025</v>
      </c>
      <c r="C37" s="5">
        <f>-C18</f>
        <v>8206</v>
      </c>
      <c r="D37" s="5">
        <f>-D18</f>
        <v>7786</v>
      </c>
      <c r="E37" s="5">
        <f>-E18</f>
        <v>6924</v>
      </c>
      <c r="F37" s="25">
        <f t="shared" ref="F37:F50" si="24">SUM(B37:E37)</f>
        <v>28941</v>
      </c>
      <c r="G37" s="5">
        <f>-G18</f>
        <v>4970</v>
      </c>
      <c r="H37" s="5">
        <f>-H18</f>
        <v>7348</v>
      </c>
      <c r="I37" s="5">
        <f>-I18</f>
        <v>7336</v>
      </c>
      <c r="J37" s="5">
        <f>-J18</f>
        <v>7395</v>
      </c>
      <c r="K37" s="25">
        <f t="shared" ref="K37:K50" si="25">SUM(G37:J37)</f>
        <v>27049</v>
      </c>
      <c r="L37" s="5">
        <f>-L18</f>
        <v>5660</v>
      </c>
      <c r="M37" s="5">
        <f>-M18</f>
        <v>9356</v>
      </c>
      <c r="N37" s="5">
        <f>-N18</f>
        <v>10109</v>
      </c>
      <c r="O37" s="5">
        <f>-O18</f>
        <v>10102</v>
      </c>
      <c r="P37" s="25">
        <f t="shared" ref="P37:P50" si="26">SUM(L37:O37)</f>
        <v>35227</v>
      </c>
      <c r="Q37" s="5">
        <f>-Q18</f>
        <v>5464</v>
      </c>
      <c r="R37" s="5">
        <f>-R18</f>
        <v>7882</v>
      </c>
      <c r="S37" s="5">
        <f>-S18</f>
        <v>8475</v>
      </c>
      <c r="T37" s="5">
        <f>-T18</f>
        <v>8540</v>
      </c>
      <c r="U37" s="25">
        <f t="shared" ref="U37:U50" si="27">SUM(Q37:T37)</f>
        <v>30361</v>
      </c>
      <c r="V37" s="5">
        <f>-V18</f>
        <v>3698</v>
      </c>
      <c r="W37" s="5">
        <f>-W18</f>
        <v>8339</v>
      </c>
      <c r="X37" s="5">
        <f>-X18</f>
        <v>8557</v>
      </c>
    </row>
    <row r="38" spans="1:24" x14ac:dyDescent="0.2">
      <c r="A38" s="14" t="s">
        <v>96</v>
      </c>
      <c r="B38" s="5">
        <f>-B23</f>
        <v>-1110</v>
      </c>
      <c r="C38" s="5">
        <f>-C23</f>
        <v>-11196</v>
      </c>
      <c r="D38" s="5">
        <f>-D23</f>
        <v>3562</v>
      </c>
      <c r="E38" s="5">
        <f>-E23</f>
        <v>4419</v>
      </c>
      <c r="F38" s="25">
        <f t="shared" si="24"/>
        <v>-4325</v>
      </c>
      <c r="G38" s="5">
        <f>-G23</f>
        <v>2018</v>
      </c>
      <c r="H38" s="5">
        <f>-H23</f>
        <v>9181</v>
      </c>
      <c r="I38" s="5">
        <f>-I23</f>
        <v>2757</v>
      </c>
      <c r="J38" s="5">
        <f>-J23</f>
        <v>18065</v>
      </c>
      <c r="K38" s="25">
        <f t="shared" si="25"/>
        <v>32021</v>
      </c>
      <c r="L38" s="5">
        <f>-L23</f>
        <v>5717</v>
      </c>
      <c r="M38" s="5">
        <f>-M23</f>
        <v>12005</v>
      </c>
      <c r="N38" s="5">
        <f>-N23</f>
        <v>5355</v>
      </c>
      <c r="O38" s="5">
        <f>-O23</f>
        <v>-3878</v>
      </c>
      <c r="P38" s="25">
        <f t="shared" si="26"/>
        <v>19199</v>
      </c>
      <c r="Q38" s="5">
        <f>-Q23</f>
        <v>1591</v>
      </c>
      <c r="R38" s="5">
        <f>-R23</f>
        <v>-952</v>
      </c>
      <c r="S38" s="5">
        <f>-S23</f>
        <v>1221</v>
      </c>
      <c r="T38" s="5">
        <f>-T23</f>
        <v>-850</v>
      </c>
      <c r="U38" s="25">
        <f t="shared" si="27"/>
        <v>1010</v>
      </c>
      <c r="V38" s="5">
        <f>-V23</f>
        <v>-10862</v>
      </c>
      <c r="W38" s="5">
        <f>-W23</f>
        <v>453</v>
      </c>
      <c r="X38" s="5">
        <f>-X23</f>
        <v>16840</v>
      </c>
    </row>
    <row r="39" spans="1:24" x14ac:dyDescent="0.2">
      <c r="A39" s="14" t="s">
        <v>45</v>
      </c>
      <c r="B39" s="5">
        <v>8239</v>
      </c>
      <c r="C39" s="5">
        <v>7401</v>
      </c>
      <c r="D39" s="5">
        <v>8480</v>
      </c>
      <c r="E39" s="5">
        <v>8091</v>
      </c>
      <c r="F39" s="25">
        <f t="shared" si="24"/>
        <v>32211</v>
      </c>
      <c r="G39" s="5">
        <v>6329</v>
      </c>
      <c r="H39" s="5">
        <v>6271</v>
      </c>
      <c r="I39" s="5">
        <v>8196</v>
      </c>
      <c r="J39" s="5">
        <v>7636</v>
      </c>
      <c r="K39" s="25">
        <f t="shared" si="25"/>
        <v>28432</v>
      </c>
      <c r="L39" s="5">
        <v>12196</v>
      </c>
      <c r="M39" s="5">
        <v>20950</v>
      </c>
      <c r="N39" s="5">
        <v>18836</v>
      </c>
      <c r="O39" s="5">
        <v>18866</v>
      </c>
      <c r="P39" s="25">
        <f t="shared" si="26"/>
        <v>70848</v>
      </c>
      <c r="Q39" s="5">
        <v>15797</v>
      </c>
      <c r="R39" s="5">
        <v>16727</v>
      </c>
      <c r="S39" s="5">
        <v>18786</v>
      </c>
      <c r="T39" s="5">
        <v>19107</v>
      </c>
      <c r="U39" s="25">
        <f t="shared" si="27"/>
        <v>70417</v>
      </c>
      <c r="V39" s="5">
        <v>18638</v>
      </c>
      <c r="W39" s="5">
        <v>17765</v>
      </c>
      <c r="X39" s="5">
        <v>20187</v>
      </c>
    </row>
    <row r="40" spans="1:24" x14ac:dyDescent="0.2">
      <c r="A40" s="14" t="s">
        <v>46</v>
      </c>
      <c r="B40" s="5">
        <v>2034</v>
      </c>
      <c r="C40" s="5">
        <v>3387</v>
      </c>
      <c r="D40" s="5">
        <v>1265</v>
      </c>
      <c r="E40" s="5">
        <v>1325</v>
      </c>
      <c r="F40" s="25">
        <f t="shared" si="24"/>
        <v>8011</v>
      </c>
      <c r="G40" s="5">
        <v>4790</v>
      </c>
      <c r="H40" s="5">
        <v>982</v>
      </c>
      <c r="I40" s="5">
        <v>579</v>
      </c>
      <c r="J40" s="5">
        <v>476</v>
      </c>
      <c r="K40" s="25">
        <f t="shared" si="25"/>
        <v>6827</v>
      </c>
      <c r="L40" s="5">
        <v>3605</v>
      </c>
      <c r="M40" s="5">
        <v>2820</v>
      </c>
      <c r="N40" s="5">
        <v>4248</v>
      </c>
      <c r="O40" s="5">
        <v>6025</v>
      </c>
      <c r="P40" s="25">
        <f t="shared" si="26"/>
        <v>16698</v>
      </c>
      <c r="Q40" s="5">
        <v>1556</v>
      </c>
      <c r="R40" s="5">
        <v>7427</v>
      </c>
      <c r="S40" s="5">
        <v>5228</v>
      </c>
      <c r="T40" s="5">
        <v>6343</v>
      </c>
      <c r="U40" s="25">
        <f t="shared" si="27"/>
        <v>20554</v>
      </c>
      <c r="V40" s="5">
        <v>6498</v>
      </c>
      <c r="W40" s="5">
        <v>2693</v>
      </c>
      <c r="X40" s="5">
        <v>5249</v>
      </c>
    </row>
    <row r="41" spans="1:24" x14ac:dyDescent="0.2">
      <c r="A41" s="14" t="s">
        <v>160</v>
      </c>
      <c r="B41" s="5">
        <v>0</v>
      </c>
      <c r="C41" s="5">
        <v>0</v>
      </c>
      <c r="D41" s="5">
        <v>0</v>
      </c>
      <c r="E41" s="5">
        <v>0</v>
      </c>
      <c r="F41" s="25">
        <f t="shared" si="24"/>
        <v>0</v>
      </c>
      <c r="G41" s="5">
        <v>0</v>
      </c>
      <c r="H41" s="5">
        <v>0</v>
      </c>
      <c r="I41" s="5">
        <v>0</v>
      </c>
      <c r="J41" s="5">
        <v>0</v>
      </c>
      <c r="K41" s="25">
        <f t="shared" si="25"/>
        <v>0</v>
      </c>
      <c r="L41" s="5">
        <v>0</v>
      </c>
      <c r="M41" s="5">
        <v>0</v>
      </c>
      <c r="N41" s="5">
        <v>0</v>
      </c>
      <c r="O41" s="5">
        <v>0</v>
      </c>
      <c r="P41" s="25">
        <f t="shared" si="26"/>
        <v>0</v>
      </c>
      <c r="Q41" s="5">
        <v>5512</v>
      </c>
      <c r="R41" s="5">
        <v>0</v>
      </c>
      <c r="S41" s="5">
        <v>0</v>
      </c>
      <c r="T41" s="5">
        <v>0</v>
      </c>
      <c r="U41" s="25">
        <f t="shared" si="27"/>
        <v>5512</v>
      </c>
      <c r="V41" s="5">
        <v>0</v>
      </c>
      <c r="W41" s="5">
        <v>0</v>
      </c>
      <c r="X41" s="5">
        <v>0</v>
      </c>
    </row>
    <row r="42" spans="1:24" ht="14.25" x14ac:dyDescent="0.2">
      <c r="A42" s="14" t="s">
        <v>186</v>
      </c>
      <c r="B42" s="5">
        <v>0</v>
      </c>
      <c r="C42" s="5">
        <v>0</v>
      </c>
      <c r="D42" s="5">
        <v>0</v>
      </c>
      <c r="E42" s="5">
        <v>0</v>
      </c>
      <c r="F42" s="25">
        <f t="shared" si="24"/>
        <v>0</v>
      </c>
      <c r="G42" s="5">
        <v>0</v>
      </c>
      <c r="H42" s="5">
        <v>0</v>
      </c>
      <c r="I42" s="5">
        <v>0</v>
      </c>
      <c r="J42" s="5">
        <v>0</v>
      </c>
      <c r="K42" s="25">
        <f t="shared" si="25"/>
        <v>0</v>
      </c>
      <c r="L42" s="5">
        <v>0</v>
      </c>
      <c r="M42" s="5">
        <v>0</v>
      </c>
      <c r="N42" s="5">
        <v>0</v>
      </c>
      <c r="O42" s="5">
        <v>0</v>
      </c>
      <c r="P42" s="25">
        <f t="shared" si="26"/>
        <v>0</v>
      </c>
      <c r="Q42" s="5">
        <v>0</v>
      </c>
      <c r="R42" s="5">
        <v>0</v>
      </c>
      <c r="S42" s="5">
        <v>0</v>
      </c>
      <c r="T42" s="5">
        <v>0</v>
      </c>
      <c r="U42" s="25">
        <f t="shared" si="27"/>
        <v>0</v>
      </c>
      <c r="V42" s="5">
        <f>-V20</f>
        <v>42988</v>
      </c>
      <c r="W42" s="5">
        <f>-W20</f>
        <v>0</v>
      </c>
      <c r="X42" s="5">
        <f>-X20</f>
        <v>0</v>
      </c>
    </row>
    <row r="43" spans="1:24" x14ac:dyDescent="0.2">
      <c r="A43" s="14" t="s">
        <v>97</v>
      </c>
      <c r="B43" s="5">
        <f>-B21</f>
        <v>2096</v>
      </c>
      <c r="C43" s="5">
        <f>-C21</f>
        <v>2473</v>
      </c>
      <c r="D43" s="5">
        <f>-D21</f>
        <v>2285</v>
      </c>
      <c r="E43" s="5">
        <f>-E21</f>
        <v>2285</v>
      </c>
      <c r="F43" s="25">
        <f t="shared" si="24"/>
        <v>9139</v>
      </c>
      <c r="G43" s="5">
        <f>-G21</f>
        <v>1906</v>
      </c>
      <c r="H43" s="5">
        <f>-H21</f>
        <v>1286</v>
      </c>
      <c r="I43" s="5">
        <f>-I21</f>
        <v>1596</v>
      </c>
      <c r="J43" s="5">
        <f>-J21</f>
        <v>1596</v>
      </c>
      <c r="K43" s="25">
        <f t="shared" si="25"/>
        <v>6384</v>
      </c>
      <c r="L43" s="5">
        <f>-L21</f>
        <v>1857</v>
      </c>
      <c r="M43" s="5">
        <f>-M21</f>
        <v>1908</v>
      </c>
      <c r="N43" s="5">
        <f>-N21</f>
        <v>1942</v>
      </c>
      <c r="O43" s="5">
        <f>-O21</f>
        <v>1941</v>
      </c>
      <c r="P43" s="25">
        <f t="shared" si="26"/>
        <v>7648</v>
      </c>
      <c r="Q43" s="5">
        <f>-Q21</f>
        <v>980</v>
      </c>
      <c r="R43" s="5">
        <f>-R21</f>
        <v>889</v>
      </c>
      <c r="S43" s="5">
        <f>-S21</f>
        <v>935</v>
      </c>
      <c r="T43" s="5">
        <f>-T21</f>
        <v>935</v>
      </c>
      <c r="U43" s="25">
        <f t="shared" si="27"/>
        <v>3739</v>
      </c>
      <c r="V43" s="5">
        <v>3635</v>
      </c>
      <c r="W43" s="5">
        <v>3478</v>
      </c>
      <c r="X43" s="5">
        <v>3557</v>
      </c>
    </row>
    <row r="44" spans="1:24" ht="14.25" x14ac:dyDescent="0.2">
      <c r="A44" s="14" t="s">
        <v>171</v>
      </c>
      <c r="B44" s="5">
        <v>0</v>
      </c>
      <c r="C44" s="5">
        <v>0</v>
      </c>
      <c r="D44" s="5">
        <v>0</v>
      </c>
      <c r="E44" s="5">
        <v>0</v>
      </c>
      <c r="F44" s="25">
        <f t="shared" ref="F44" si="28">SUM(B44:E44)</f>
        <v>0</v>
      </c>
      <c r="G44" s="5">
        <v>0</v>
      </c>
      <c r="H44" s="5">
        <v>0</v>
      </c>
      <c r="I44" s="5">
        <v>0</v>
      </c>
      <c r="J44" s="5">
        <v>0</v>
      </c>
      <c r="K44" s="25">
        <f t="shared" ref="K44" si="29">SUM(G44:J44)</f>
        <v>0</v>
      </c>
      <c r="L44" s="5">
        <v>0</v>
      </c>
      <c r="M44" s="5">
        <v>0</v>
      </c>
      <c r="N44" s="5">
        <v>0</v>
      </c>
      <c r="O44" s="5">
        <v>0</v>
      </c>
      <c r="P44" s="25">
        <f t="shared" ref="P44" si="30">SUM(L44:O44)</f>
        <v>0</v>
      </c>
      <c r="Q44" s="5">
        <v>-9176</v>
      </c>
      <c r="R44" s="5">
        <v>0</v>
      </c>
      <c r="S44" s="5">
        <v>0</v>
      </c>
      <c r="T44" s="5">
        <v>0</v>
      </c>
      <c r="U44" s="25">
        <f t="shared" si="27"/>
        <v>-9176</v>
      </c>
      <c r="V44" s="5">
        <v>0</v>
      </c>
      <c r="W44" s="5">
        <v>0</v>
      </c>
      <c r="X44" s="5">
        <v>0</v>
      </c>
    </row>
    <row r="45" spans="1:24" x14ac:dyDescent="0.2">
      <c r="A45" s="14" t="s">
        <v>99</v>
      </c>
      <c r="B45" s="5">
        <v>0</v>
      </c>
      <c r="C45" s="5">
        <v>0</v>
      </c>
      <c r="D45" s="5">
        <v>0</v>
      </c>
      <c r="E45" s="5">
        <v>0</v>
      </c>
      <c r="F45" s="25">
        <f t="shared" si="24"/>
        <v>0</v>
      </c>
      <c r="G45" s="5">
        <v>0</v>
      </c>
      <c r="H45" s="5">
        <v>0</v>
      </c>
      <c r="I45" s="5">
        <v>0</v>
      </c>
      <c r="J45" s="5">
        <v>0</v>
      </c>
      <c r="K45" s="25">
        <f t="shared" si="25"/>
        <v>0</v>
      </c>
      <c r="L45" s="5">
        <v>1849</v>
      </c>
      <c r="M45" s="5">
        <v>0</v>
      </c>
      <c r="N45" s="5">
        <v>0</v>
      </c>
      <c r="O45" s="5">
        <v>0</v>
      </c>
      <c r="P45" s="25">
        <f t="shared" si="26"/>
        <v>1849</v>
      </c>
      <c r="Q45" s="5">
        <v>0</v>
      </c>
      <c r="R45" s="5">
        <v>0</v>
      </c>
      <c r="S45" s="5">
        <v>0</v>
      </c>
      <c r="T45" s="5">
        <v>0</v>
      </c>
      <c r="U45" s="25">
        <f t="shared" si="27"/>
        <v>0</v>
      </c>
      <c r="V45" s="5">
        <v>0</v>
      </c>
      <c r="W45" s="5">
        <v>0</v>
      </c>
      <c r="X45" s="5">
        <v>0</v>
      </c>
    </row>
    <row r="46" spans="1:24" x14ac:dyDescent="0.2">
      <c r="A46" s="14" t="s">
        <v>5</v>
      </c>
      <c r="B46" s="5">
        <v>220</v>
      </c>
      <c r="C46" s="5">
        <v>802</v>
      </c>
      <c r="D46" s="5">
        <v>0</v>
      </c>
      <c r="E46" s="5">
        <v>0</v>
      </c>
      <c r="F46" s="25">
        <f t="shared" si="24"/>
        <v>1022</v>
      </c>
      <c r="G46" s="5">
        <v>0</v>
      </c>
      <c r="H46" s="5">
        <v>0</v>
      </c>
      <c r="I46" s="5">
        <v>4978</v>
      </c>
      <c r="J46" s="5">
        <v>0</v>
      </c>
      <c r="K46" s="25">
        <f t="shared" si="25"/>
        <v>4978</v>
      </c>
      <c r="L46" s="5">
        <v>0</v>
      </c>
      <c r="M46" s="5">
        <v>0</v>
      </c>
      <c r="N46" s="5">
        <v>0</v>
      </c>
      <c r="O46" s="5">
        <v>0</v>
      </c>
      <c r="P46" s="25">
        <f t="shared" si="26"/>
        <v>0</v>
      </c>
      <c r="Q46" s="5">
        <v>0</v>
      </c>
      <c r="R46" s="5">
        <v>0</v>
      </c>
      <c r="S46" s="5">
        <v>0</v>
      </c>
      <c r="T46" s="5">
        <v>0</v>
      </c>
      <c r="U46" s="25">
        <f t="shared" si="27"/>
        <v>0</v>
      </c>
      <c r="V46" s="5">
        <v>0</v>
      </c>
      <c r="W46" s="5">
        <v>0</v>
      </c>
      <c r="X46" s="5">
        <v>0</v>
      </c>
    </row>
    <row r="47" spans="1:24" x14ac:dyDescent="0.2">
      <c r="A47" s="14" t="s">
        <v>4</v>
      </c>
      <c r="B47" s="5">
        <f>B12</f>
        <v>0</v>
      </c>
      <c r="C47" s="5">
        <f>C12</f>
        <v>0</v>
      </c>
      <c r="D47" s="5">
        <f>D12</f>
        <v>0</v>
      </c>
      <c r="E47" s="5">
        <f>E12</f>
        <v>0</v>
      </c>
      <c r="F47" s="25">
        <f t="shared" si="24"/>
        <v>0</v>
      </c>
      <c r="G47" s="5">
        <f>G12</f>
        <v>0</v>
      </c>
      <c r="H47" s="5">
        <f>H12</f>
        <v>0</v>
      </c>
      <c r="I47" s="5">
        <f>I12</f>
        <v>27</v>
      </c>
      <c r="J47" s="5">
        <f>J12</f>
        <v>3382</v>
      </c>
      <c r="K47" s="25">
        <f t="shared" si="25"/>
        <v>3409</v>
      </c>
      <c r="L47" s="5">
        <f>L12</f>
        <v>19255</v>
      </c>
      <c r="M47" s="5">
        <f>M12</f>
        <v>1018</v>
      </c>
      <c r="N47" s="5">
        <f>N12</f>
        <v>972</v>
      </c>
      <c r="O47" s="5">
        <f>O12</f>
        <v>874</v>
      </c>
      <c r="P47" s="25">
        <f t="shared" si="26"/>
        <v>22119</v>
      </c>
      <c r="Q47" s="5">
        <f>Q12</f>
        <v>0</v>
      </c>
      <c r="R47" s="5">
        <f>R12</f>
        <v>0</v>
      </c>
      <c r="S47" s="5">
        <f>S12</f>
        <v>0</v>
      </c>
      <c r="T47" s="5">
        <f>T12</f>
        <v>0</v>
      </c>
      <c r="U47" s="25">
        <f t="shared" si="27"/>
        <v>0</v>
      </c>
      <c r="V47" s="5">
        <f>V12</f>
        <v>0</v>
      </c>
      <c r="W47" s="5">
        <f>W12</f>
        <v>0</v>
      </c>
      <c r="X47" s="5">
        <f>X12</f>
        <v>0</v>
      </c>
    </row>
    <row r="48" spans="1:24" x14ac:dyDescent="0.2">
      <c r="A48" s="14" t="s">
        <v>98</v>
      </c>
      <c r="B48" s="5">
        <v>0</v>
      </c>
      <c r="C48" s="5">
        <v>0</v>
      </c>
      <c r="D48" s="5">
        <v>0</v>
      </c>
      <c r="E48" s="5">
        <v>0</v>
      </c>
      <c r="F48" s="25">
        <f t="shared" si="24"/>
        <v>0</v>
      </c>
      <c r="G48" s="5">
        <f>-G14</f>
        <v>0</v>
      </c>
      <c r="H48" s="5">
        <v>-3265</v>
      </c>
      <c r="I48" s="5">
        <v>3066</v>
      </c>
      <c r="J48" s="5">
        <v>199</v>
      </c>
      <c r="K48" s="25">
        <f t="shared" si="25"/>
        <v>0</v>
      </c>
      <c r="L48" s="5">
        <v>0</v>
      </c>
      <c r="M48" s="5">
        <v>0</v>
      </c>
      <c r="N48" s="5">
        <v>0</v>
      </c>
      <c r="O48" s="5">
        <v>0</v>
      </c>
      <c r="P48" s="25">
        <f t="shared" si="26"/>
        <v>0</v>
      </c>
      <c r="Q48" s="5">
        <v>0</v>
      </c>
      <c r="R48" s="5">
        <v>0</v>
      </c>
      <c r="S48" s="5">
        <v>0</v>
      </c>
      <c r="T48" s="5">
        <v>0</v>
      </c>
      <c r="U48" s="25">
        <f t="shared" si="27"/>
        <v>0</v>
      </c>
      <c r="V48" s="5">
        <v>0</v>
      </c>
      <c r="W48" s="5">
        <v>0</v>
      </c>
      <c r="X48" s="5">
        <v>0</v>
      </c>
    </row>
    <row r="49" spans="1:24" x14ac:dyDescent="0.2">
      <c r="A49" s="4" t="s">
        <v>6</v>
      </c>
      <c r="B49" s="5">
        <f>B15</f>
        <v>0</v>
      </c>
      <c r="C49" s="5">
        <f>C15</f>
        <v>48522</v>
      </c>
      <c r="D49" s="5">
        <f>D15</f>
        <v>0</v>
      </c>
      <c r="E49" s="5">
        <f>E15</f>
        <v>0</v>
      </c>
      <c r="F49" s="25">
        <f t="shared" si="24"/>
        <v>48522</v>
      </c>
      <c r="G49" s="5">
        <f>G15</f>
        <v>0</v>
      </c>
      <c r="H49" s="5">
        <f>H15</f>
        <v>0</v>
      </c>
      <c r="I49" s="5">
        <f>I15</f>
        <v>0</v>
      </c>
      <c r="J49" s="5">
        <f>J15</f>
        <v>0</v>
      </c>
      <c r="K49" s="25">
        <f t="shared" si="25"/>
        <v>0</v>
      </c>
      <c r="L49" s="5">
        <f>L15</f>
        <v>0</v>
      </c>
      <c r="M49" s="5">
        <f>M15</f>
        <v>0</v>
      </c>
      <c r="N49" s="5">
        <f>N15</f>
        <v>0</v>
      </c>
      <c r="O49" s="5">
        <f>O15</f>
        <v>0</v>
      </c>
      <c r="P49" s="25">
        <f t="shared" si="26"/>
        <v>0</v>
      </c>
      <c r="Q49" s="5">
        <f>Q15</f>
        <v>0</v>
      </c>
      <c r="R49" s="5">
        <f>R15</f>
        <v>0</v>
      </c>
      <c r="S49" s="5">
        <f>S15</f>
        <v>0</v>
      </c>
      <c r="T49" s="5">
        <f>T15</f>
        <v>0</v>
      </c>
      <c r="U49" s="25">
        <f t="shared" si="27"/>
        <v>0</v>
      </c>
      <c r="V49" s="5">
        <f>V15</f>
        <v>0</v>
      </c>
      <c r="W49" s="5">
        <f>W15</f>
        <v>0</v>
      </c>
      <c r="X49" s="5">
        <f>X15</f>
        <v>0</v>
      </c>
    </row>
    <row r="50" spans="1:24" x14ac:dyDescent="0.2">
      <c r="A50" s="14" t="s">
        <v>167</v>
      </c>
      <c r="B50" s="5">
        <v>-1</v>
      </c>
      <c r="C50" s="5">
        <v>-4</v>
      </c>
      <c r="D50" s="5">
        <v>0</v>
      </c>
      <c r="E50" s="5">
        <v>-1</v>
      </c>
      <c r="F50" s="25">
        <f t="shared" si="24"/>
        <v>-6</v>
      </c>
      <c r="G50" s="5">
        <v>-14</v>
      </c>
      <c r="H50" s="5">
        <v>30</v>
      </c>
      <c r="I50" s="5">
        <v>0</v>
      </c>
      <c r="J50" s="5">
        <v>188</v>
      </c>
      <c r="K50" s="25">
        <f t="shared" si="25"/>
        <v>204</v>
      </c>
      <c r="L50" s="5">
        <v>-4</v>
      </c>
      <c r="M50" s="5">
        <v>3</v>
      </c>
      <c r="N50" s="5">
        <v>12</v>
      </c>
      <c r="O50" s="5">
        <v>714</v>
      </c>
      <c r="P50" s="25">
        <f t="shared" si="26"/>
        <v>725</v>
      </c>
      <c r="Q50" s="5">
        <v>-32</v>
      </c>
      <c r="R50" s="5">
        <v>-30</v>
      </c>
      <c r="S50" s="5">
        <v>-198</v>
      </c>
      <c r="T50" s="5">
        <v>1125</v>
      </c>
      <c r="U50" s="25">
        <f t="shared" si="27"/>
        <v>865</v>
      </c>
      <c r="V50" s="5">
        <v>-192</v>
      </c>
      <c r="W50" s="5">
        <v>7</v>
      </c>
      <c r="X50" s="5">
        <v>-11</v>
      </c>
    </row>
    <row r="51" spans="1:24" ht="13.5" thickBot="1" x14ac:dyDescent="0.25">
      <c r="A51" s="9" t="s">
        <v>86</v>
      </c>
      <c r="B51" s="12">
        <f t="shared" ref="B51:N51" si="31">SUM(B36:B50)</f>
        <v>17660</v>
      </c>
      <c r="C51" s="12">
        <f t="shared" si="31"/>
        <v>28353</v>
      </c>
      <c r="D51" s="12">
        <f t="shared" si="31"/>
        <v>51024</v>
      </c>
      <c r="E51" s="12">
        <f t="shared" si="31"/>
        <v>37416</v>
      </c>
      <c r="F51" s="30">
        <f t="shared" si="31"/>
        <v>134453</v>
      </c>
      <c r="G51" s="12">
        <f t="shared" si="31"/>
        <v>36920</v>
      </c>
      <c r="H51" s="12">
        <f t="shared" si="31"/>
        <v>46077</v>
      </c>
      <c r="I51" s="12">
        <f t="shared" si="31"/>
        <v>62235</v>
      </c>
      <c r="J51" s="12">
        <f t="shared" si="31"/>
        <v>50525</v>
      </c>
      <c r="K51" s="30">
        <f t="shared" si="31"/>
        <v>195757</v>
      </c>
      <c r="L51" s="12">
        <f t="shared" si="31"/>
        <v>64732</v>
      </c>
      <c r="M51" s="12">
        <f t="shared" si="31"/>
        <v>94208</v>
      </c>
      <c r="N51" s="12">
        <f t="shared" si="31"/>
        <v>101810</v>
      </c>
      <c r="O51" s="12">
        <f t="shared" ref="O51" si="32">SUM(O36:O50)</f>
        <v>36443</v>
      </c>
      <c r="P51" s="30">
        <f t="shared" ref="P51:U51" si="33">SUM(P36:P50)</f>
        <v>297193</v>
      </c>
      <c r="Q51" s="12">
        <f t="shared" si="33"/>
        <v>28252</v>
      </c>
      <c r="R51" s="12">
        <f t="shared" si="33"/>
        <v>49080</v>
      </c>
      <c r="S51" s="12">
        <f t="shared" si="33"/>
        <v>55012</v>
      </c>
      <c r="T51" s="12">
        <f t="shared" si="33"/>
        <v>46599</v>
      </c>
      <c r="U51" s="30">
        <f t="shared" si="33"/>
        <v>178943</v>
      </c>
      <c r="V51" s="12">
        <f t="shared" ref="V51:W51" si="34">SUM(V36:V50)</f>
        <v>47571</v>
      </c>
      <c r="W51" s="12">
        <f t="shared" si="34"/>
        <v>35373</v>
      </c>
      <c r="X51" s="12">
        <f t="shared" ref="X51" si="35">SUM(X36:X50)</f>
        <v>135386</v>
      </c>
    </row>
    <row r="52" spans="1:24" ht="13.5" thickTop="1" x14ac:dyDescent="0.2">
      <c r="A52" s="14"/>
      <c r="B52" s="5"/>
      <c r="C52" s="5"/>
      <c r="D52" s="5"/>
      <c r="E52" s="5"/>
      <c r="F52" s="5"/>
      <c r="G52" s="5"/>
      <c r="H52" s="5"/>
      <c r="I52" s="5"/>
      <c r="J52" s="5"/>
      <c r="K52" s="5"/>
      <c r="L52" s="5"/>
      <c r="M52" s="5"/>
      <c r="N52" s="5"/>
      <c r="O52" s="5"/>
      <c r="P52" s="5"/>
      <c r="Q52" s="5"/>
      <c r="R52" s="5"/>
      <c r="S52" s="5"/>
      <c r="T52" s="5"/>
      <c r="U52" s="5"/>
      <c r="V52" s="5"/>
      <c r="W52" s="5"/>
      <c r="X52" s="5"/>
    </row>
    <row r="53" spans="1:24" ht="14.25" x14ac:dyDescent="0.2">
      <c r="A53" s="1" t="s">
        <v>135</v>
      </c>
      <c r="B53" s="5"/>
      <c r="C53" s="5"/>
      <c r="D53" s="5"/>
      <c r="E53" s="5"/>
      <c r="F53" s="5"/>
      <c r="G53" s="5"/>
      <c r="H53" s="5"/>
      <c r="I53" s="5"/>
      <c r="J53" s="5"/>
      <c r="K53" s="25"/>
      <c r="L53" s="5"/>
      <c r="M53" s="5"/>
      <c r="N53" s="5"/>
      <c r="O53" s="5"/>
      <c r="P53" s="25"/>
      <c r="Q53" s="5"/>
      <c r="R53" s="5"/>
      <c r="S53" s="5"/>
      <c r="T53" s="5"/>
      <c r="U53" s="25"/>
      <c r="V53" s="5"/>
      <c r="W53" s="5"/>
      <c r="X53" s="5"/>
    </row>
    <row r="54" spans="1:24" x14ac:dyDescent="0.2">
      <c r="A54" s="9" t="s">
        <v>10</v>
      </c>
      <c r="B54" s="35">
        <f>B24</f>
        <v>157</v>
      </c>
      <c r="C54" s="35">
        <f>C24</f>
        <v>-31238</v>
      </c>
      <c r="D54" s="35">
        <f>D24</f>
        <v>27646</v>
      </c>
      <c r="E54" s="35">
        <f>E24</f>
        <v>14373</v>
      </c>
      <c r="F54" s="34">
        <f>SUM(B54:E54)</f>
        <v>10938</v>
      </c>
      <c r="G54" s="35">
        <f>G24</f>
        <v>16921</v>
      </c>
      <c r="H54" s="35">
        <f>H24</f>
        <v>24244</v>
      </c>
      <c r="I54" s="35">
        <f>I24</f>
        <v>33700</v>
      </c>
      <c r="J54" s="35">
        <f>J24</f>
        <v>11588</v>
      </c>
      <c r="K54" s="34">
        <f>SUM(G54:J54)</f>
        <v>86453</v>
      </c>
      <c r="L54" s="35">
        <f>L24</f>
        <v>14597</v>
      </c>
      <c r="M54" s="35">
        <f>M24</f>
        <v>46148</v>
      </c>
      <c r="N54" s="35">
        <f>N24</f>
        <v>60336</v>
      </c>
      <c r="O54" s="35">
        <f>O24</f>
        <v>1799</v>
      </c>
      <c r="P54" s="34">
        <f>SUM(L54:O54)</f>
        <v>122880</v>
      </c>
      <c r="Q54" s="35">
        <f>Q24</f>
        <v>6560</v>
      </c>
      <c r="R54" s="35">
        <f>R24</f>
        <v>17137</v>
      </c>
      <c r="S54" s="35">
        <f>S24</f>
        <v>20565</v>
      </c>
      <c r="T54" s="35">
        <f>T24</f>
        <v>11399</v>
      </c>
      <c r="U54" s="34">
        <f>SUM(Q54:T54)</f>
        <v>55661</v>
      </c>
      <c r="V54" s="35">
        <f>V24</f>
        <v>-16832</v>
      </c>
      <c r="W54" s="35">
        <f>W24</f>
        <v>2638</v>
      </c>
      <c r="X54" s="35">
        <f>X24</f>
        <v>81007</v>
      </c>
    </row>
    <row r="55" spans="1:24" x14ac:dyDescent="0.2">
      <c r="A55" s="14" t="s">
        <v>160</v>
      </c>
      <c r="B55" s="5">
        <v>0</v>
      </c>
      <c r="C55" s="5">
        <v>0</v>
      </c>
      <c r="D55" s="5">
        <v>0</v>
      </c>
      <c r="E55" s="5">
        <v>0</v>
      </c>
      <c r="F55" s="25">
        <f t="shared" ref="F55:F57" si="36">SUM(B55:E55)</f>
        <v>0</v>
      </c>
      <c r="G55" s="5">
        <v>0</v>
      </c>
      <c r="H55" s="5">
        <v>0</v>
      </c>
      <c r="I55" s="5">
        <v>0</v>
      </c>
      <c r="J55" s="5">
        <v>0</v>
      </c>
      <c r="K55" s="25">
        <f t="shared" ref="K55:K57" si="37">SUM(G55:J55)</f>
        <v>0</v>
      </c>
      <c r="L55" s="5">
        <v>0</v>
      </c>
      <c r="M55" s="5">
        <v>0</v>
      </c>
      <c r="N55" s="5">
        <v>0</v>
      </c>
      <c r="O55" s="5">
        <v>0</v>
      </c>
      <c r="P55" s="25">
        <f t="shared" ref="P55:P57" si="38">SUM(L55:O55)</f>
        <v>0</v>
      </c>
      <c r="Q55" s="5">
        <v>5512</v>
      </c>
      <c r="R55" s="5">
        <v>0</v>
      </c>
      <c r="S55" s="5">
        <v>0</v>
      </c>
      <c r="T55" s="5">
        <v>0</v>
      </c>
      <c r="U55" s="25">
        <f t="shared" ref="U55:U64" si="39">SUM(Q55:T55)</f>
        <v>5512</v>
      </c>
      <c r="V55" s="5">
        <v>0</v>
      </c>
      <c r="W55" s="5">
        <v>0</v>
      </c>
      <c r="X55" s="5">
        <v>0</v>
      </c>
    </row>
    <row r="56" spans="1:24" ht="14.25" x14ac:dyDescent="0.2">
      <c r="A56" s="14" t="s">
        <v>187</v>
      </c>
      <c r="B56" s="5">
        <v>0</v>
      </c>
      <c r="C56" s="5">
        <v>0</v>
      </c>
      <c r="D56" s="5">
        <v>0</v>
      </c>
      <c r="E56" s="5">
        <v>0</v>
      </c>
      <c r="F56" s="25">
        <f t="shared" si="36"/>
        <v>0</v>
      </c>
      <c r="G56" s="5">
        <v>0</v>
      </c>
      <c r="H56" s="5">
        <v>0</v>
      </c>
      <c r="I56" s="5">
        <v>0</v>
      </c>
      <c r="J56" s="5">
        <v>0</v>
      </c>
      <c r="K56" s="25">
        <f t="shared" si="37"/>
        <v>0</v>
      </c>
      <c r="L56" s="5">
        <v>0</v>
      </c>
      <c r="M56" s="5">
        <v>0</v>
      </c>
      <c r="N56" s="5">
        <v>0</v>
      </c>
      <c r="O56" s="5">
        <v>0</v>
      </c>
      <c r="P56" s="25">
        <f t="shared" si="38"/>
        <v>0</v>
      </c>
      <c r="Q56" s="5">
        <v>0</v>
      </c>
      <c r="R56" s="5">
        <v>0</v>
      </c>
      <c r="S56" s="5">
        <v>0</v>
      </c>
      <c r="T56" s="5">
        <v>0</v>
      </c>
      <c r="U56" s="25">
        <f t="shared" si="39"/>
        <v>0</v>
      </c>
      <c r="V56" s="5">
        <v>31811</v>
      </c>
      <c r="W56" s="5">
        <v>0</v>
      </c>
      <c r="X56" s="5">
        <v>0</v>
      </c>
    </row>
    <row r="57" spans="1:24" ht="14.25" x14ac:dyDescent="0.2">
      <c r="A57" s="14" t="s">
        <v>181</v>
      </c>
      <c r="B57" s="5">
        <v>0</v>
      </c>
      <c r="C57" s="5">
        <v>0</v>
      </c>
      <c r="D57" s="5">
        <v>0</v>
      </c>
      <c r="E57" s="5">
        <v>0</v>
      </c>
      <c r="F57" s="25">
        <f t="shared" si="36"/>
        <v>0</v>
      </c>
      <c r="G57" s="5">
        <v>0</v>
      </c>
      <c r="H57" s="5">
        <v>0</v>
      </c>
      <c r="I57" s="5">
        <v>0</v>
      </c>
      <c r="J57" s="5">
        <v>0</v>
      </c>
      <c r="K57" s="25">
        <f t="shared" si="37"/>
        <v>0</v>
      </c>
      <c r="L57" s="5">
        <v>0</v>
      </c>
      <c r="M57" s="5">
        <v>0</v>
      </c>
      <c r="N57" s="5">
        <v>0</v>
      </c>
      <c r="O57" s="5">
        <v>0</v>
      </c>
      <c r="P57" s="25">
        <f t="shared" si="38"/>
        <v>0</v>
      </c>
      <c r="Q57" s="5">
        <v>-6790</v>
      </c>
      <c r="R57" s="5">
        <v>0</v>
      </c>
      <c r="S57" s="5">
        <v>0</v>
      </c>
      <c r="T57" s="5">
        <v>0</v>
      </c>
      <c r="U57" s="25">
        <f t="shared" si="39"/>
        <v>-6790</v>
      </c>
      <c r="V57" s="5">
        <v>0</v>
      </c>
      <c r="W57" s="5">
        <v>0</v>
      </c>
      <c r="X57" s="5">
        <v>0</v>
      </c>
    </row>
    <row r="58" spans="1:24" x14ac:dyDescent="0.2">
      <c r="A58" s="4" t="s">
        <v>154</v>
      </c>
      <c r="B58" s="5">
        <v>0</v>
      </c>
      <c r="C58" s="5">
        <v>36718</v>
      </c>
      <c r="D58" s="5">
        <v>0</v>
      </c>
      <c r="E58" s="5">
        <v>0</v>
      </c>
      <c r="F58" s="25">
        <f t="shared" ref="F58:F64" si="40">SUM(B58:E58)</f>
        <v>36718</v>
      </c>
      <c r="G58" s="5">
        <v>0</v>
      </c>
      <c r="H58" s="5">
        <v>0</v>
      </c>
      <c r="I58" s="5">
        <v>0</v>
      </c>
      <c r="J58" s="5">
        <v>0</v>
      </c>
      <c r="K58" s="25">
        <f t="shared" ref="K58:K64" si="41">SUM(G58:J58)</f>
        <v>0</v>
      </c>
      <c r="L58" s="5">
        <v>0</v>
      </c>
      <c r="M58" s="5">
        <v>0</v>
      </c>
      <c r="N58" s="5">
        <v>0</v>
      </c>
      <c r="O58" s="5">
        <v>0</v>
      </c>
      <c r="P58" s="25">
        <f t="shared" ref="P58:P64" si="42">SUM(L58:O58)</f>
        <v>0</v>
      </c>
      <c r="Q58" s="5">
        <v>0</v>
      </c>
      <c r="R58" s="5">
        <v>0</v>
      </c>
      <c r="S58" s="5">
        <v>0</v>
      </c>
      <c r="T58" s="5">
        <v>0</v>
      </c>
      <c r="U58" s="25">
        <f t="shared" si="39"/>
        <v>0</v>
      </c>
      <c r="V58" s="5">
        <v>0</v>
      </c>
      <c r="W58" s="5">
        <v>0</v>
      </c>
      <c r="X58" s="5">
        <v>0</v>
      </c>
    </row>
    <row r="59" spans="1:24" x14ac:dyDescent="0.2">
      <c r="A59" s="14" t="s">
        <v>122</v>
      </c>
      <c r="B59" s="5">
        <v>134</v>
      </c>
      <c r="C59" s="5">
        <v>489</v>
      </c>
      <c r="D59" s="5">
        <v>0</v>
      </c>
      <c r="E59" s="5">
        <v>0</v>
      </c>
      <c r="F59" s="25">
        <f t="shared" si="40"/>
        <v>623</v>
      </c>
      <c r="G59" s="5">
        <v>0</v>
      </c>
      <c r="H59" s="5">
        <v>0</v>
      </c>
      <c r="I59" s="5">
        <v>3037</v>
      </c>
      <c r="J59" s="5">
        <v>0</v>
      </c>
      <c r="K59" s="25">
        <f t="shared" si="41"/>
        <v>3037</v>
      </c>
      <c r="L59" s="5">
        <v>0</v>
      </c>
      <c r="M59" s="5">
        <v>0</v>
      </c>
      <c r="N59" s="5">
        <v>0</v>
      </c>
      <c r="O59" s="5">
        <v>0</v>
      </c>
      <c r="P59" s="25">
        <f t="shared" si="42"/>
        <v>0</v>
      </c>
      <c r="Q59" s="5">
        <v>0</v>
      </c>
      <c r="R59" s="5">
        <v>0</v>
      </c>
      <c r="S59" s="5">
        <v>0</v>
      </c>
      <c r="T59" s="5">
        <v>0</v>
      </c>
      <c r="U59" s="25">
        <f t="shared" si="39"/>
        <v>0</v>
      </c>
      <c r="V59" s="5">
        <v>0</v>
      </c>
      <c r="W59" s="5">
        <v>0</v>
      </c>
      <c r="X59" s="5">
        <v>0</v>
      </c>
    </row>
    <row r="60" spans="1:24" x14ac:dyDescent="0.2">
      <c r="A60" s="14" t="s">
        <v>118</v>
      </c>
      <c r="B60" s="5">
        <v>0</v>
      </c>
      <c r="C60" s="5">
        <v>0</v>
      </c>
      <c r="D60" s="5">
        <v>0</v>
      </c>
      <c r="E60" s="5">
        <v>0</v>
      </c>
      <c r="F60" s="25">
        <f t="shared" si="40"/>
        <v>0</v>
      </c>
      <c r="G60" s="5">
        <v>0</v>
      </c>
      <c r="H60" s="5">
        <v>-1992</v>
      </c>
      <c r="I60" s="5">
        <v>1870</v>
      </c>
      <c r="J60" s="5">
        <v>122</v>
      </c>
      <c r="K60" s="25">
        <f t="shared" si="41"/>
        <v>0</v>
      </c>
      <c r="L60" s="5">
        <v>0</v>
      </c>
      <c r="M60" s="5">
        <v>0</v>
      </c>
      <c r="N60" s="5">
        <v>0</v>
      </c>
      <c r="O60" s="5">
        <v>0</v>
      </c>
      <c r="P60" s="25">
        <f t="shared" si="42"/>
        <v>0</v>
      </c>
      <c r="Q60" s="5">
        <v>0</v>
      </c>
      <c r="R60" s="5">
        <v>0</v>
      </c>
      <c r="S60" s="5">
        <v>0</v>
      </c>
      <c r="T60" s="5">
        <v>0</v>
      </c>
      <c r="U60" s="25">
        <f t="shared" si="39"/>
        <v>0</v>
      </c>
      <c r="V60" s="5">
        <v>0</v>
      </c>
      <c r="W60" s="5">
        <v>0</v>
      </c>
      <c r="X60" s="5">
        <v>0</v>
      </c>
    </row>
    <row r="61" spans="1:24" x14ac:dyDescent="0.2">
      <c r="A61" s="14" t="s">
        <v>116</v>
      </c>
      <c r="B61" s="5">
        <v>0</v>
      </c>
      <c r="C61" s="5">
        <v>0</v>
      </c>
      <c r="D61" s="5">
        <v>0</v>
      </c>
      <c r="E61" s="5">
        <v>0</v>
      </c>
      <c r="F61" s="25">
        <f>SUM(B61:E61)</f>
        <v>0</v>
      </c>
      <c r="G61" s="5">
        <v>0</v>
      </c>
      <c r="H61" s="5">
        <v>0</v>
      </c>
      <c r="I61" s="5">
        <v>0</v>
      </c>
      <c r="J61" s="5">
        <v>10669</v>
      </c>
      <c r="K61" s="25">
        <f>SUM(G61:J61)</f>
        <v>10669</v>
      </c>
      <c r="L61" s="5">
        <v>0</v>
      </c>
      <c r="M61" s="5">
        <v>0</v>
      </c>
      <c r="N61" s="5">
        <v>0</v>
      </c>
      <c r="O61" s="5">
        <v>0</v>
      </c>
      <c r="P61" s="25">
        <f>SUM(L61:O61)</f>
        <v>0</v>
      </c>
      <c r="Q61" s="5">
        <v>0</v>
      </c>
      <c r="R61" s="5">
        <v>0</v>
      </c>
      <c r="S61" s="5">
        <v>0</v>
      </c>
      <c r="T61" s="5">
        <v>0</v>
      </c>
      <c r="U61" s="25">
        <f>SUM(Q61:T61)</f>
        <v>0</v>
      </c>
      <c r="V61" s="5">
        <v>0</v>
      </c>
      <c r="W61" s="5">
        <v>0</v>
      </c>
      <c r="X61" s="5">
        <v>0</v>
      </c>
    </row>
    <row r="62" spans="1:24" x14ac:dyDescent="0.2">
      <c r="A62" s="14" t="s">
        <v>4</v>
      </c>
      <c r="B62" s="5">
        <v>0</v>
      </c>
      <c r="C62" s="5">
        <v>0</v>
      </c>
      <c r="D62" s="5">
        <v>0</v>
      </c>
      <c r="E62" s="5">
        <v>0</v>
      </c>
      <c r="F62" s="25">
        <f t="shared" si="40"/>
        <v>0</v>
      </c>
      <c r="G62" s="5">
        <v>0</v>
      </c>
      <c r="H62" s="5">
        <v>0</v>
      </c>
      <c r="I62" s="5">
        <f>I47</f>
        <v>27</v>
      </c>
      <c r="J62" s="5">
        <f>J47</f>
        <v>3382</v>
      </c>
      <c r="K62" s="25">
        <f t="shared" si="41"/>
        <v>3409</v>
      </c>
      <c r="L62" s="5">
        <f>L47</f>
        <v>19255</v>
      </c>
      <c r="M62" s="5">
        <f>M47</f>
        <v>1018</v>
      </c>
      <c r="N62" s="5">
        <f>N47</f>
        <v>972</v>
      </c>
      <c r="O62" s="5">
        <f>O47</f>
        <v>874</v>
      </c>
      <c r="P62" s="25">
        <f t="shared" si="42"/>
        <v>22119</v>
      </c>
      <c r="Q62" s="5">
        <f>Q47</f>
        <v>0</v>
      </c>
      <c r="R62" s="5">
        <f>R47</f>
        <v>0</v>
      </c>
      <c r="S62" s="5">
        <f>S47</f>
        <v>0</v>
      </c>
      <c r="T62" s="5">
        <f>T47</f>
        <v>0</v>
      </c>
      <c r="U62" s="25">
        <f t="shared" si="39"/>
        <v>0</v>
      </c>
      <c r="V62" s="5">
        <f>V47</f>
        <v>0</v>
      </c>
      <c r="W62" s="5">
        <f>W47</f>
        <v>0</v>
      </c>
      <c r="X62" s="5">
        <f>X47</f>
        <v>0</v>
      </c>
    </row>
    <row r="63" spans="1:24" x14ac:dyDescent="0.2">
      <c r="A63" s="14" t="s">
        <v>117</v>
      </c>
      <c r="B63" s="5">
        <v>0</v>
      </c>
      <c r="C63" s="5">
        <v>0</v>
      </c>
      <c r="D63" s="5">
        <v>0</v>
      </c>
      <c r="E63" s="5">
        <v>0</v>
      </c>
      <c r="F63" s="25">
        <f t="shared" si="40"/>
        <v>0</v>
      </c>
      <c r="G63" s="5">
        <v>0</v>
      </c>
      <c r="H63" s="5">
        <v>0</v>
      </c>
      <c r="I63" s="5">
        <v>0</v>
      </c>
      <c r="J63" s="5">
        <v>0</v>
      </c>
      <c r="K63" s="25">
        <f t="shared" si="41"/>
        <v>0</v>
      </c>
      <c r="L63" s="5">
        <v>1368</v>
      </c>
      <c r="M63" s="5">
        <v>0</v>
      </c>
      <c r="N63" s="5">
        <v>0</v>
      </c>
      <c r="O63" s="5">
        <v>0</v>
      </c>
      <c r="P63" s="25">
        <f t="shared" si="42"/>
        <v>1368</v>
      </c>
      <c r="Q63" s="5">
        <v>0</v>
      </c>
      <c r="R63" s="5">
        <v>0</v>
      </c>
      <c r="S63" s="5">
        <v>0</v>
      </c>
      <c r="T63" s="5">
        <v>0</v>
      </c>
      <c r="U63" s="25">
        <f t="shared" si="39"/>
        <v>0</v>
      </c>
      <c r="V63" s="5">
        <v>0</v>
      </c>
      <c r="W63" s="5">
        <v>0</v>
      </c>
      <c r="X63" s="5">
        <v>0</v>
      </c>
    </row>
    <row r="64" spans="1:24" ht="14.25" x14ac:dyDescent="0.2">
      <c r="A64" s="14" t="s">
        <v>132</v>
      </c>
      <c r="B64" s="5">
        <v>0</v>
      </c>
      <c r="C64" s="5">
        <v>0</v>
      </c>
      <c r="D64" s="5">
        <v>0</v>
      </c>
      <c r="E64" s="5">
        <v>0</v>
      </c>
      <c r="F64" s="25">
        <f t="shared" si="40"/>
        <v>0</v>
      </c>
      <c r="G64" s="5">
        <v>0</v>
      </c>
      <c r="H64" s="5">
        <v>0</v>
      </c>
      <c r="I64" s="5">
        <v>0</v>
      </c>
      <c r="J64" s="5">
        <v>0</v>
      </c>
      <c r="K64" s="25">
        <f t="shared" si="41"/>
        <v>0</v>
      </c>
      <c r="L64" s="5">
        <v>0</v>
      </c>
      <c r="M64" s="5">
        <v>0</v>
      </c>
      <c r="N64" s="5">
        <v>-5015</v>
      </c>
      <c r="O64" s="5">
        <v>0</v>
      </c>
      <c r="P64" s="25">
        <f t="shared" si="42"/>
        <v>-5015</v>
      </c>
      <c r="Q64" s="5">
        <v>0</v>
      </c>
      <c r="R64" s="5">
        <v>0</v>
      </c>
      <c r="S64" s="5">
        <v>0</v>
      </c>
      <c r="T64" s="5">
        <v>0</v>
      </c>
      <c r="U64" s="25">
        <f t="shared" si="39"/>
        <v>0</v>
      </c>
      <c r="V64" s="5">
        <v>0</v>
      </c>
      <c r="W64" s="5">
        <v>0</v>
      </c>
      <c r="X64" s="5">
        <v>0</v>
      </c>
    </row>
    <row r="65" spans="1:24" ht="13.5" thickBot="1" x14ac:dyDescent="0.25">
      <c r="A65" s="9" t="s">
        <v>114</v>
      </c>
      <c r="B65" s="12">
        <f t="shared" ref="B65:Q65" si="43">SUM(B54:B64)</f>
        <v>291</v>
      </c>
      <c r="C65" s="12">
        <f t="shared" si="43"/>
        <v>5969</v>
      </c>
      <c r="D65" s="12">
        <f t="shared" si="43"/>
        <v>27646</v>
      </c>
      <c r="E65" s="12">
        <f t="shared" si="43"/>
        <v>14373</v>
      </c>
      <c r="F65" s="30">
        <f t="shared" si="43"/>
        <v>48279</v>
      </c>
      <c r="G65" s="12">
        <f t="shared" si="43"/>
        <v>16921</v>
      </c>
      <c r="H65" s="12">
        <f t="shared" si="43"/>
        <v>22252</v>
      </c>
      <c r="I65" s="12">
        <f t="shared" si="43"/>
        <v>38634</v>
      </c>
      <c r="J65" s="12">
        <f t="shared" si="43"/>
        <v>25761</v>
      </c>
      <c r="K65" s="30">
        <f t="shared" si="43"/>
        <v>103568</v>
      </c>
      <c r="L65" s="12">
        <f t="shared" si="43"/>
        <v>35220</v>
      </c>
      <c r="M65" s="12">
        <f t="shared" si="43"/>
        <v>47166</v>
      </c>
      <c r="N65" s="12">
        <f t="shared" si="43"/>
        <v>56293</v>
      </c>
      <c r="O65" s="12">
        <f t="shared" si="43"/>
        <v>2673</v>
      </c>
      <c r="P65" s="30">
        <f t="shared" si="43"/>
        <v>141352</v>
      </c>
      <c r="Q65" s="12">
        <f t="shared" si="43"/>
        <v>5282</v>
      </c>
      <c r="R65" s="12">
        <f t="shared" ref="R65:S65" si="44">SUM(R54:R64)</f>
        <v>17137</v>
      </c>
      <c r="S65" s="12">
        <f t="shared" si="44"/>
        <v>20565</v>
      </c>
      <c r="T65" s="12">
        <f t="shared" ref="T65:U65" si="45">SUM(T54:T64)</f>
        <v>11399</v>
      </c>
      <c r="U65" s="30">
        <f t="shared" si="45"/>
        <v>54383</v>
      </c>
      <c r="V65" s="12">
        <f t="shared" ref="V65:W65" si="46">SUM(V54:V64)</f>
        <v>14979</v>
      </c>
      <c r="W65" s="12">
        <f t="shared" si="46"/>
        <v>2638</v>
      </c>
      <c r="X65" s="12">
        <f t="shared" ref="X65" si="47">SUM(X54:X64)</f>
        <v>81007</v>
      </c>
    </row>
    <row r="66" spans="1:24" ht="13.5" thickTop="1" x14ac:dyDescent="0.2">
      <c r="K66" s="47"/>
      <c r="L66" s="47"/>
      <c r="Q66" s="47"/>
      <c r="R66" s="47"/>
      <c r="S66" s="47"/>
      <c r="T66" s="47"/>
      <c r="V66" s="47"/>
      <c r="W66" s="47"/>
      <c r="X66" s="47"/>
    </row>
    <row r="67" spans="1:24" x14ac:dyDescent="0.2">
      <c r="A67" s="9" t="s">
        <v>169</v>
      </c>
      <c r="B67" s="15">
        <f t="shared" ref="B67:Q67" si="48">B28</f>
        <v>0</v>
      </c>
      <c r="C67" s="15">
        <f t="shared" si="48"/>
        <v>-0.77</v>
      </c>
      <c r="D67" s="15">
        <f t="shared" si="48"/>
        <v>0.68</v>
      </c>
      <c r="E67" s="15">
        <f t="shared" si="48"/>
        <v>0.35</v>
      </c>
      <c r="F67" s="32">
        <f t="shared" si="48"/>
        <v>0.27</v>
      </c>
      <c r="G67" s="15">
        <f t="shared" si="48"/>
        <v>0.41</v>
      </c>
      <c r="H67" s="15">
        <f t="shared" si="48"/>
        <v>0.59</v>
      </c>
      <c r="I67" s="15">
        <f t="shared" si="48"/>
        <v>0.82</v>
      </c>
      <c r="J67" s="15">
        <f t="shared" si="48"/>
        <v>0.28000000000000003</v>
      </c>
      <c r="K67" s="32">
        <f t="shared" si="48"/>
        <v>2.1</v>
      </c>
      <c r="L67" s="15">
        <f t="shared" si="48"/>
        <v>0.28999999999999998</v>
      </c>
      <c r="M67" s="15">
        <f t="shared" si="48"/>
        <v>0.73</v>
      </c>
      <c r="N67" s="15">
        <f t="shared" si="48"/>
        <v>0.93</v>
      </c>
      <c r="O67" s="15">
        <f t="shared" si="48"/>
        <v>0.03</v>
      </c>
      <c r="P67" s="32">
        <f t="shared" si="48"/>
        <v>1.99</v>
      </c>
      <c r="Q67" s="15">
        <f t="shared" si="48"/>
        <v>0.1</v>
      </c>
      <c r="R67" s="15">
        <f t="shared" ref="R67:S67" si="49">R28</f>
        <v>0.25</v>
      </c>
      <c r="S67" s="15">
        <f t="shared" si="49"/>
        <v>0.3</v>
      </c>
      <c r="T67" s="15">
        <f t="shared" ref="T67:U67" si="50">T28</f>
        <v>0.17</v>
      </c>
      <c r="U67" s="32">
        <f t="shared" si="50"/>
        <v>0.82</v>
      </c>
      <c r="V67" s="15">
        <f t="shared" ref="V67:W67" si="51">V28</f>
        <v>-0.25</v>
      </c>
      <c r="W67" s="15">
        <f t="shared" si="51"/>
        <v>0.04</v>
      </c>
      <c r="X67" s="15">
        <f t="shared" ref="X67" si="52">X28</f>
        <v>1.2</v>
      </c>
    </row>
    <row r="68" spans="1:24" x14ac:dyDescent="0.2">
      <c r="A68" s="14" t="s">
        <v>160</v>
      </c>
      <c r="B68" s="87">
        <v>0</v>
      </c>
      <c r="C68" s="87">
        <v>0</v>
      </c>
      <c r="D68" s="87">
        <v>0</v>
      </c>
      <c r="E68" s="87">
        <v>0</v>
      </c>
      <c r="F68" s="86">
        <f>SUM(B68:E68)</f>
        <v>0</v>
      </c>
      <c r="G68" s="87">
        <v>0</v>
      </c>
      <c r="H68" s="87">
        <v>0</v>
      </c>
      <c r="I68" s="87">
        <v>0</v>
      </c>
      <c r="J68" s="87">
        <v>0</v>
      </c>
      <c r="K68" s="86">
        <f>SUM(G68:J68)</f>
        <v>0</v>
      </c>
      <c r="L68" s="87">
        <v>0</v>
      </c>
      <c r="M68" s="87">
        <v>0</v>
      </c>
      <c r="N68" s="87">
        <v>0</v>
      </c>
      <c r="O68" s="87">
        <v>0</v>
      </c>
      <c r="P68" s="86">
        <f>SUM(L68:O68)</f>
        <v>0</v>
      </c>
      <c r="Q68" s="87">
        <v>0.08</v>
      </c>
      <c r="R68" s="87">
        <v>0</v>
      </c>
      <c r="S68" s="87">
        <v>0</v>
      </c>
      <c r="T68" s="87">
        <v>0</v>
      </c>
      <c r="U68" s="86">
        <f>SUM(Q68:T68)</f>
        <v>0.08</v>
      </c>
      <c r="V68" s="87">
        <v>0</v>
      </c>
      <c r="W68" s="87">
        <v>0</v>
      </c>
      <c r="X68" s="87">
        <v>0</v>
      </c>
    </row>
    <row r="69" spans="1:24" ht="14.25" x14ac:dyDescent="0.2">
      <c r="A69" s="14" t="s">
        <v>187</v>
      </c>
      <c r="B69" s="87">
        <v>0</v>
      </c>
      <c r="C69" s="87">
        <v>0</v>
      </c>
      <c r="D69" s="87">
        <v>0</v>
      </c>
      <c r="E69" s="87">
        <v>0</v>
      </c>
      <c r="F69" s="86">
        <f>SUM(B69:E69)</f>
        <v>0</v>
      </c>
      <c r="G69" s="87">
        <v>0</v>
      </c>
      <c r="H69" s="87">
        <v>0</v>
      </c>
      <c r="I69" s="87">
        <v>0</v>
      </c>
      <c r="J69" s="87">
        <v>0</v>
      </c>
      <c r="K69" s="86">
        <f>SUM(G69:J69)</f>
        <v>0</v>
      </c>
      <c r="L69" s="87">
        <v>0</v>
      </c>
      <c r="M69" s="87">
        <v>0</v>
      </c>
      <c r="N69" s="87">
        <v>0</v>
      </c>
      <c r="O69" s="87">
        <v>0</v>
      </c>
      <c r="P69" s="86">
        <f>SUM(L69:O69)</f>
        <v>0</v>
      </c>
      <c r="Q69" s="87">
        <v>0</v>
      </c>
      <c r="R69" s="87">
        <v>0</v>
      </c>
      <c r="S69" s="87">
        <v>0</v>
      </c>
      <c r="T69" s="87">
        <v>0</v>
      </c>
      <c r="U69" s="86">
        <f>SUM(Q69:T69)</f>
        <v>0</v>
      </c>
      <c r="V69" s="87">
        <v>0.47</v>
      </c>
      <c r="W69" s="87">
        <v>0</v>
      </c>
      <c r="X69" s="87">
        <v>0</v>
      </c>
    </row>
    <row r="70" spans="1:24" ht="14.25" x14ac:dyDescent="0.2">
      <c r="A70" s="14" t="s">
        <v>181</v>
      </c>
      <c r="B70" s="87">
        <v>0</v>
      </c>
      <c r="C70" s="87">
        <v>0</v>
      </c>
      <c r="D70" s="87">
        <v>0</v>
      </c>
      <c r="E70" s="87">
        <v>0</v>
      </c>
      <c r="F70" s="86">
        <f t="shared" ref="F70" si="53">SUM(B70:E70)</f>
        <v>0</v>
      </c>
      <c r="G70" s="87">
        <v>0</v>
      </c>
      <c r="H70" s="87">
        <v>0</v>
      </c>
      <c r="I70" s="87">
        <v>0</v>
      </c>
      <c r="J70" s="87">
        <v>0</v>
      </c>
      <c r="K70" s="86">
        <f t="shared" ref="K70" si="54">SUM(G70:J70)</f>
        <v>0</v>
      </c>
      <c r="L70" s="87">
        <v>0</v>
      </c>
      <c r="M70" s="87">
        <v>0</v>
      </c>
      <c r="N70" s="87">
        <v>0</v>
      </c>
      <c r="O70" s="87">
        <v>0</v>
      </c>
      <c r="P70" s="86">
        <f t="shared" ref="P70" si="55">SUM(L70:O70)</f>
        <v>0</v>
      </c>
      <c r="Q70" s="87">
        <v>-0.1</v>
      </c>
      <c r="R70" s="87">
        <v>0</v>
      </c>
      <c r="S70" s="87">
        <v>0</v>
      </c>
      <c r="T70" s="87">
        <v>0</v>
      </c>
      <c r="U70" s="86">
        <f t="shared" ref="U70" si="56">SUM(Q70:T70)</f>
        <v>-0.1</v>
      </c>
      <c r="V70" s="87">
        <v>0</v>
      </c>
      <c r="W70" s="87">
        <v>0</v>
      </c>
      <c r="X70" s="87">
        <v>0</v>
      </c>
    </row>
    <row r="71" spans="1:24" x14ac:dyDescent="0.2">
      <c r="A71" s="4" t="s">
        <v>6</v>
      </c>
      <c r="B71" s="87">
        <v>0</v>
      </c>
      <c r="C71" s="87">
        <f>1.19</f>
        <v>1.19</v>
      </c>
      <c r="D71" s="87">
        <v>0</v>
      </c>
      <c r="E71" s="87">
        <v>0</v>
      </c>
      <c r="F71" s="86">
        <f>SUM(B71:E71)</f>
        <v>1.19</v>
      </c>
      <c r="G71" s="87">
        <v>0</v>
      </c>
      <c r="H71" s="87">
        <v>0</v>
      </c>
      <c r="I71" s="87">
        <v>0</v>
      </c>
      <c r="J71" s="87">
        <v>0</v>
      </c>
      <c r="K71" s="86">
        <f>SUM(G71:J71)</f>
        <v>0</v>
      </c>
      <c r="L71" s="87">
        <v>0</v>
      </c>
      <c r="M71" s="87">
        <v>0</v>
      </c>
      <c r="N71" s="87">
        <v>0</v>
      </c>
      <c r="O71" s="87">
        <v>0</v>
      </c>
      <c r="P71" s="86">
        <f>SUM(L71:O71)</f>
        <v>0</v>
      </c>
      <c r="Q71" s="87">
        <v>0</v>
      </c>
      <c r="R71" s="87">
        <v>0</v>
      </c>
      <c r="S71" s="87">
        <v>0</v>
      </c>
      <c r="T71" s="87">
        <v>0</v>
      </c>
      <c r="U71" s="86">
        <f>SUM(Q71:T71)</f>
        <v>0</v>
      </c>
      <c r="V71" s="87">
        <v>0</v>
      </c>
      <c r="W71" s="87">
        <v>0</v>
      </c>
      <c r="X71" s="87">
        <v>0</v>
      </c>
    </row>
    <row r="72" spans="1:24" x14ac:dyDescent="0.2">
      <c r="A72" s="14" t="s">
        <v>121</v>
      </c>
      <c r="B72" s="87">
        <v>0</v>
      </c>
      <c r="C72" s="87">
        <v>-0.28999999999999998</v>
      </c>
      <c r="D72" s="87">
        <v>0</v>
      </c>
      <c r="E72" s="87">
        <v>0</v>
      </c>
      <c r="F72" s="86">
        <f t="shared" ref="F72:F78" si="57">SUM(B72:E72)</f>
        <v>-0.28999999999999998</v>
      </c>
      <c r="G72" s="87">
        <v>0</v>
      </c>
      <c r="H72" s="87">
        <v>0</v>
      </c>
      <c r="I72" s="87">
        <v>0</v>
      </c>
      <c r="J72" s="87">
        <v>0</v>
      </c>
      <c r="K72" s="86">
        <f t="shared" ref="K72:K78" si="58">SUM(G72:J72)</f>
        <v>0</v>
      </c>
      <c r="L72" s="87">
        <v>0</v>
      </c>
      <c r="M72" s="87">
        <v>0</v>
      </c>
      <c r="N72" s="87">
        <v>0</v>
      </c>
      <c r="O72" s="87">
        <v>0</v>
      </c>
      <c r="P72" s="86">
        <f t="shared" ref="P72:P77" si="59">SUM(L72:O72)</f>
        <v>0</v>
      </c>
      <c r="Q72" s="87">
        <v>0</v>
      </c>
      <c r="R72" s="87">
        <v>0</v>
      </c>
      <c r="S72" s="87">
        <v>0</v>
      </c>
      <c r="T72" s="87">
        <v>0</v>
      </c>
      <c r="U72" s="86">
        <f t="shared" ref="U72:U77" si="60">SUM(Q72:T72)</f>
        <v>0</v>
      </c>
      <c r="V72" s="87">
        <v>0</v>
      </c>
      <c r="W72" s="87">
        <v>0</v>
      </c>
      <c r="X72" s="87">
        <v>0</v>
      </c>
    </row>
    <row r="73" spans="1:24" x14ac:dyDescent="0.2">
      <c r="A73" s="14" t="s">
        <v>122</v>
      </c>
      <c r="B73" s="87">
        <v>0</v>
      </c>
      <c r="C73" s="87">
        <v>0.01</v>
      </c>
      <c r="D73" s="87">
        <v>0</v>
      </c>
      <c r="E73" s="87">
        <v>0</v>
      </c>
      <c r="F73" s="86">
        <f t="shared" si="57"/>
        <v>0.01</v>
      </c>
      <c r="G73" s="87">
        <v>0</v>
      </c>
      <c r="H73" s="87">
        <v>0</v>
      </c>
      <c r="I73" s="87">
        <v>7.0000000000000007E-2</v>
      </c>
      <c r="J73" s="87">
        <v>0</v>
      </c>
      <c r="K73" s="86">
        <f t="shared" si="58"/>
        <v>7.0000000000000007E-2</v>
      </c>
      <c r="L73" s="87">
        <v>0</v>
      </c>
      <c r="M73" s="87">
        <v>0</v>
      </c>
      <c r="N73" s="87">
        <v>0</v>
      </c>
      <c r="O73" s="87">
        <v>0</v>
      </c>
      <c r="P73" s="86">
        <f t="shared" si="59"/>
        <v>0</v>
      </c>
      <c r="Q73" s="87">
        <v>0</v>
      </c>
      <c r="R73" s="87">
        <v>0</v>
      </c>
      <c r="S73" s="87">
        <v>0</v>
      </c>
      <c r="T73" s="87">
        <v>0</v>
      </c>
      <c r="U73" s="86">
        <f t="shared" si="60"/>
        <v>0</v>
      </c>
      <c r="V73" s="87">
        <v>0</v>
      </c>
      <c r="W73" s="87">
        <v>0</v>
      </c>
      <c r="X73" s="87">
        <v>0</v>
      </c>
    </row>
    <row r="74" spans="1:24" x14ac:dyDescent="0.2">
      <c r="A74" s="14" t="s">
        <v>118</v>
      </c>
      <c r="B74" s="87">
        <v>0</v>
      </c>
      <c r="C74" s="87">
        <v>0</v>
      </c>
      <c r="D74" s="87">
        <v>0</v>
      </c>
      <c r="E74" s="87">
        <v>0</v>
      </c>
      <c r="F74" s="86">
        <f t="shared" si="57"/>
        <v>0</v>
      </c>
      <c r="G74" s="87">
        <v>0</v>
      </c>
      <c r="H74" s="87">
        <v>-0.05</v>
      </c>
      <c r="I74" s="87">
        <v>0.05</v>
      </c>
      <c r="J74" s="87">
        <v>0</v>
      </c>
      <c r="K74" s="86">
        <f t="shared" si="58"/>
        <v>0</v>
      </c>
      <c r="L74" s="87">
        <v>0</v>
      </c>
      <c r="M74" s="87">
        <v>0</v>
      </c>
      <c r="N74" s="87">
        <v>0</v>
      </c>
      <c r="O74" s="87">
        <v>0</v>
      </c>
      <c r="P74" s="86">
        <f t="shared" si="59"/>
        <v>0</v>
      </c>
      <c r="Q74" s="87">
        <v>0</v>
      </c>
      <c r="R74" s="87">
        <v>0</v>
      </c>
      <c r="S74" s="87">
        <v>0</v>
      </c>
      <c r="T74" s="87">
        <v>0</v>
      </c>
      <c r="U74" s="86">
        <f t="shared" si="60"/>
        <v>0</v>
      </c>
      <c r="V74" s="87">
        <v>0</v>
      </c>
      <c r="W74" s="87">
        <v>0</v>
      </c>
      <c r="X74" s="87">
        <v>0</v>
      </c>
    </row>
    <row r="75" spans="1:24" x14ac:dyDescent="0.2">
      <c r="A75" s="14" t="s">
        <v>116</v>
      </c>
      <c r="B75" s="87">
        <v>0</v>
      </c>
      <c r="C75" s="87">
        <v>0</v>
      </c>
      <c r="D75" s="87">
        <v>0</v>
      </c>
      <c r="E75" s="87">
        <v>0</v>
      </c>
      <c r="F75" s="86">
        <f t="shared" si="57"/>
        <v>0</v>
      </c>
      <c r="G75" s="87">
        <v>0</v>
      </c>
      <c r="H75" s="87">
        <v>0</v>
      </c>
      <c r="I75" s="87">
        <v>0</v>
      </c>
      <c r="J75" s="87">
        <v>0.26</v>
      </c>
      <c r="K75" s="86">
        <f t="shared" si="58"/>
        <v>0.26</v>
      </c>
      <c r="L75" s="87">
        <v>0</v>
      </c>
      <c r="M75" s="87">
        <v>0</v>
      </c>
      <c r="N75" s="87">
        <v>0</v>
      </c>
      <c r="O75" s="87">
        <v>0</v>
      </c>
      <c r="P75" s="86">
        <f t="shared" si="59"/>
        <v>0</v>
      </c>
      <c r="Q75" s="87">
        <v>0</v>
      </c>
      <c r="R75" s="87">
        <v>0</v>
      </c>
      <c r="S75" s="87">
        <v>0</v>
      </c>
      <c r="T75" s="87">
        <v>0</v>
      </c>
      <c r="U75" s="86">
        <f t="shared" si="60"/>
        <v>0</v>
      </c>
      <c r="V75" s="87">
        <v>0</v>
      </c>
      <c r="W75" s="87">
        <v>0</v>
      </c>
      <c r="X75" s="87">
        <v>0</v>
      </c>
    </row>
    <row r="76" spans="1:24" x14ac:dyDescent="0.2">
      <c r="A76" s="14" t="s">
        <v>4</v>
      </c>
      <c r="B76" s="87">
        <v>0</v>
      </c>
      <c r="C76" s="87">
        <v>0</v>
      </c>
      <c r="D76" s="87">
        <v>0</v>
      </c>
      <c r="E76" s="87">
        <v>0</v>
      </c>
      <c r="F76" s="86">
        <f t="shared" si="57"/>
        <v>0</v>
      </c>
      <c r="G76" s="87">
        <v>0</v>
      </c>
      <c r="H76" s="87">
        <v>0</v>
      </c>
      <c r="I76" s="87">
        <v>0</v>
      </c>
      <c r="J76" s="87">
        <v>0.08</v>
      </c>
      <c r="K76" s="86">
        <f t="shared" si="58"/>
        <v>0.08</v>
      </c>
      <c r="L76" s="87">
        <v>0.38</v>
      </c>
      <c r="M76" s="87">
        <v>0.02</v>
      </c>
      <c r="N76" s="87">
        <v>0.02</v>
      </c>
      <c r="O76" s="87">
        <v>0.01</v>
      </c>
      <c r="P76" s="86">
        <v>0.36</v>
      </c>
      <c r="Q76" s="87">
        <v>0</v>
      </c>
      <c r="R76" s="87">
        <v>0</v>
      </c>
      <c r="S76" s="87">
        <v>0</v>
      </c>
      <c r="T76" s="87">
        <v>0</v>
      </c>
      <c r="U76" s="86">
        <v>0</v>
      </c>
      <c r="V76" s="87">
        <v>0</v>
      </c>
      <c r="W76" s="87">
        <v>0</v>
      </c>
      <c r="X76" s="87">
        <v>0</v>
      </c>
    </row>
    <row r="77" spans="1:24" x14ac:dyDescent="0.2">
      <c r="A77" s="14" t="s">
        <v>117</v>
      </c>
      <c r="B77" s="87">
        <v>0</v>
      </c>
      <c r="C77" s="87">
        <v>0</v>
      </c>
      <c r="D77" s="87">
        <v>0</v>
      </c>
      <c r="E77" s="87">
        <v>0</v>
      </c>
      <c r="F77" s="86">
        <f t="shared" si="57"/>
        <v>0</v>
      </c>
      <c r="G77" s="87">
        <v>0</v>
      </c>
      <c r="H77" s="87">
        <v>0</v>
      </c>
      <c r="I77" s="87">
        <v>0</v>
      </c>
      <c r="J77" s="87">
        <v>0</v>
      </c>
      <c r="K77" s="86">
        <f t="shared" si="58"/>
        <v>0</v>
      </c>
      <c r="L77" s="87">
        <v>0.02</v>
      </c>
      <c r="M77" s="87">
        <v>0</v>
      </c>
      <c r="N77" s="87">
        <v>0</v>
      </c>
      <c r="O77" s="87">
        <v>0</v>
      </c>
      <c r="P77" s="86">
        <f t="shared" si="59"/>
        <v>0.02</v>
      </c>
      <c r="Q77" s="87">
        <v>0</v>
      </c>
      <c r="R77" s="87">
        <v>0</v>
      </c>
      <c r="S77" s="87">
        <v>0</v>
      </c>
      <c r="T77" s="87">
        <v>0</v>
      </c>
      <c r="U77" s="86">
        <f t="shared" si="60"/>
        <v>0</v>
      </c>
      <c r="V77" s="87">
        <v>0</v>
      </c>
      <c r="W77" s="87">
        <v>0</v>
      </c>
      <c r="X77" s="87">
        <v>0</v>
      </c>
    </row>
    <row r="78" spans="1:24" ht="14.25" x14ac:dyDescent="0.2">
      <c r="A78" s="14" t="s">
        <v>132</v>
      </c>
      <c r="B78" s="87">
        <v>0</v>
      </c>
      <c r="C78" s="87">
        <v>0</v>
      </c>
      <c r="D78" s="87">
        <v>0</v>
      </c>
      <c r="E78" s="87">
        <v>0</v>
      </c>
      <c r="F78" s="86">
        <f t="shared" si="57"/>
        <v>0</v>
      </c>
      <c r="G78" s="87">
        <v>0</v>
      </c>
      <c r="H78" s="87">
        <v>0</v>
      </c>
      <c r="I78" s="87">
        <v>0</v>
      </c>
      <c r="J78" s="87">
        <v>0</v>
      </c>
      <c r="K78" s="86">
        <f t="shared" si="58"/>
        <v>0</v>
      </c>
      <c r="L78" s="87">
        <v>0</v>
      </c>
      <c r="M78" s="87">
        <v>0</v>
      </c>
      <c r="N78" s="87">
        <v>-0.08</v>
      </c>
      <c r="O78" s="87">
        <v>0</v>
      </c>
      <c r="P78" s="86">
        <v>-0.09</v>
      </c>
      <c r="Q78" s="87">
        <v>0</v>
      </c>
      <c r="R78" s="87">
        <v>0</v>
      </c>
      <c r="S78" s="87">
        <v>0</v>
      </c>
      <c r="T78" s="87">
        <v>0</v>
      </c>
      <c r="U78" s="86">
        <v>0</v>
      </c>
      <c r="V78" s="87">
        <v>0</v>
      </c>
      <c r="W78" s="87">
        <v>0</v>
      </c>
      <c r="X78" s="87">
        <v>0</v>
      </c>
    </row>
    <row r="79" spans="1:24" ht="13.5" thickBot="1" x14ac:dyDescent="0.25">
      <c r="A79" s="9" t="s">
        <v>170</v>
      </c>
      <c r="B79" s="85">
        <f t="shared" ref="B79:P79" si="61">SUM(B67:B78)</f>
        <v>0</v>
      </c>
      <c r="C79" s="85">
        <f t="shared" si="61"/>
        <v>0.13999999999999996</v>
      </c>
      <c r="D79" s="85">
        <f t="shared" si="61"/>
        <v>0.68</v>
      </c>
      <c r="E79" s="85">
        <f>SUM(E67:E78)</f>
        <v>0.35</v>
      </c>
      <c r="F79" s="84">
        <f t="shared" si="61"/>
        <v>1.18</v>
      </c>
      <c r="G79" s="85">
        <f t="shared" si="61"/>
        <v>0.41</v>
      </c>
      <c r="H79" s="85">
        <f t="shared" si="61"/>
        <v>0.53999999999999992</v>
      </c>
      <c r="I79" s="85">
        <f t="shared" si="61"/>
        <v>0.94</v>
      </c>
      <c r="J79" s="85">
        <f t="shared" si="61"/>
        <v>0.62</v>
      </c>
      <c r="K79" s="84">
        <f t="shared" si="61"/>
        <v>2.5099999999999998</v>
      </c>
      <c r="L79" s="85">
        <f t="shared" si="61"/>
        <v>0.69</v>
      </c>
      <c r="M79" s="85">
        <f t="shared" si="61"/>
        <v>0.75</v>
      </c>
      <c r="N79" s="85">
        <f t="shared" si="61"/>
        <v>0.87000000000000011</v>
      </c>
      <c r="O79" s="85">
        <f t="shared" si="61"/>
        <v>0.04</v>
      </c>
      <c r="P79" s="84">
        <f t="shared" si="61"/>
        <v>2.2800000000000002</v>
      </c>
      <c r="Q79" s="85">
        <f t="shared" ref="Q79:R79" si="62">SUM(Q67:Q78)</f>
        <v>7.9999999999999988E-2</v>
      </c>
      <c r="R79" s="85">
        <f t="shared" si="62"/>
        <v>0.25</v>
      </c>
      <c r="S79" s="85">
        <f t="shared" ref="S79:U79" si="63">SUM(S67:S78)</f>
        <v>0.3</v>
      </c>
      <c r="T79" s="85">
        <f t="shared" si="63"/>
        <v>0.17</v>
      </c>
      <c r="U79" s="84">
        <f t="shared" si="63"/>
        <v>0.79999999999999993</v>
      </c>
      <c r="V79" s="85">
        <f t="shared" ref="V79:W79" si="64">SUM(V67:V78)</f>
        <v>0.21999999999999997</v>
      </c>
      <c r="W79" s="85">
        <f t="shared" si="64"/>
        <v>0.04</v>
      </c>
      <c r="X79" s="85">
        <f t="shared" ref="X79" si="65">SUM(X67:X78)</f>
        <v>1.2</v>
      </c>
    </row>
    <row r="80" spans="1:24" ht="13.5" thickTop="1" x14ac:dyDescent="0.2"/>
    <row r="81" spans="1:1" ht="13.5" x14ac:dyDescent="0.2">
      <c r="A81" s="83" t="s">
        <v>127</v>
      </c>
    </row>
    <row r="82" spans="1:1" ht="13.5" x14ac:dyDescent="0.2">
      <c r="A82" s="83" t="s">
        <v>133</v>
      </c>
    </row>
    <row r="83" spans="1:1" ht="13.5" x14ac:dyDescent="0.2">
      <c r="A83" s="83" t="s">
        <v>134</v>
      </c>
    </row>
    <row r="84" spans="1:1" ht="13.5" x14ac:dyDescent="0.2">
      <c r="A84" s="83" t="s">
        <v>131</v>
      </c>
    </row>
    <row r="85" spans="1:1" ht="13.5" x14ac:dyDescent="0.2">
      <c r="A85" s="83" t="s">
        <v>173</v>
      </c>
    </row>
    <row r="86" spans="1:1" ht="13.5" x14ac:dyDescent="0.2">
      <c r="A86" s="83" t="s">
        <v>174</v>
      </c>
    </row>
    <row r="87" spans="1:1" ht="14.25" x14ac:dyDescent="0.2">
      <c r="A87" s="2" t="s">
        <v>185</v>
      </c>
    </row>
  </sheetData>
  <conditionalFormatting sqref="A7:P10 A31:P40 A12:P18 A45:P54 A43:P43 A58:P67 A71:P81 A21:P21 A23:P29 A22">
    <cfRule type="expression" dxfId="402" priority="184" stopIfTrue="1">
      <formula>MOD(ROW(),2)=1</formula>
    </cfRule>
  </conditionalFormatting>
  <conditionalFormatting sqref="F50 F36:F40 F45:F48 F43">
    <cfRule type="expression" dxfId="401" priority="179" stopIfTrue="1">
      <formula>MOD(ROW(),2)=1</formula>
    </cfRule>
  </conditionalFormatting>
  <conditionalFormatting sqref="F49">
    <cfRule type="expression" dxfId="400" priority="178" stopIfTrue="1">
      <formula>MOD(ROW(),2)=1</formula>
    </cfRule>
  </conditionalFormatting>
  <conditionalFormatting sqref="L62:O62">
    <cfRule type="expression" dxfId="399" priority="163" stopIfTrue="1">
      <formula>MOD(ROW(),2)=1</formula>
    </cfRule>
  </conditionalFormatting>
  <conditionalFormatting sqref="M62:O62">
    <cfRule type="expression" dxfId="398" priority="162" stopIfTrue="1">
      <formula>MOD(ROW(),2)=1</formula>
    </cfRule>
  </conditionalFormatting>
  <conditionalFormatting sqref="N62:O62">
    <cfRule type="expression" dxfId="397" priority="161" stopIfTrue="1">
      <formula>MOD(ROW(),2)=1</formula>
    </cfRule>
  </conditionalFormatting>
  <conditionalFormatting sqref="O62">
    <cfRule type="expression" dxfId="396" priority="160" stopIfTrue="1">
      <formula>MOD(ROW(),2)=1</formula>
    </cfRule>
  </conditionalFormatting>
  <conditionalFormatting sqref="A74:E74">
    <cfRule type="expression" dxfId="395" priority="150" stopIfTrue="1">
      <formula>MOD(ROW(),2)=1</formula>
    </cfRule>
  </conditionalFormatting>
  <conditionalFormatting sqref="K50 K36:K40 K45:K48 K43">
    <cfRule type="expression" dxfId="394" priority="149" stopIfTrue="1">
      <formula>MOD(ROW(),2)=1</formula>
    </cfRule>
  </conditionalFormatting>
  <conditionalFormatting sqref="K49">
    <cfRule type="expression" dxfId="393" priority="148" stopIfTrue="1">
      <formula>MOD(ROW(),2)=1</formula>
    </cfRule>
  </conditionalFormatting>
  <conditionalFormatting sqref="P50 P36:P40 P45:P48 P43">
    <cfRule type="expression" dxfId="392" priority="147" stopIfTrue="1">
      <formula>MOD(ROW(),2)=1</formula>
    </cfRule>
  </conditionalFormatting>
  <conditionalFormatting sqref="P49">
    <cfRule type="expression" dxfId="391" priority="146" stopIfTrue="1">
      <formula>MOD(ROW(),2)=1</formula>
    </cfRule>
  </conditionalFormatting>
  <conditionalFormatting sqref="A30:P30">
    <cfRule type="expression" dxfId="390" priority="144" stopIfTrue="1">
      <formula>MOD(ROW(),2)=1</formula>
    </cfRule>
  </conditionalFormatting>
  <conditionalFormatting sqref="A82:P82">
    <cfRule type="expression" dxfId="389" priority="143" stopIfTrue="1">
      <formula>MOD(ROW(),2)=1</formula>
    </cfRule>
  </conditionalFormatting>
  <conditionalFormatting sqref="A83:P83">
    <cfRule type="expression" dxfId="388" priority="142" stopIfTrue="1">
      <formula>MOD(ROW(),2)=1</formula>
    </cfRule>
  </conditionalFormatting>
  <conditionalFormatting sqref="A84:P86">
    <cfRule type="expression" dxfId="387" priority="141" stopIfTrue="1">
      <formula>MOD(ROW(),2)=1</formula>
    </cfRule>
  </conditionalFormatting>
  <conditionalFormatting sqref="Q7:Q10 Q31:Q40 Q12:Q18 Q45:Q54 Q43 Q58:Q67 Q71:Q81 Q21 Q23:Q29">
    <cfRule type="expression" dxfId="386" priority="140" stopIfTrue="1">
      <formula>MOD(ROW(),2)=1</formula>
    </cfRule>
  </conditionalFormatting>
  <conditionalFormatting sqref="Q62">
    <cfRule type="expression" dxfId="385" priority="139" stopIfTrue="1">
      <formula>MOD(ROW(),2)=1</formula>
    </cfRule>
  </conditionalFormatting>
  <conditionalFormatting sqref="A11:P11">
    <cfRule type="expression" dxfId="384" priority="129" stopIfTrue="1">
      <formula>MOD(ROW(),2)=1</formula>
    </cfRule>
  </conditionalFormatting>
  <conditionalFormatting sqref="Q30">
    <cfRule type="expression" dxfId="383" priority="133" stopIfTrue="1">
      <formula>MOD(ROW(),2)=1</formula>
    </cfRule>
  </conditionalFormatting>
  <conditionalFormatting sqref="Q82">
    <cfRule type="expression" dxfId="382" priority="132" stopIfTrue="1">
      <formula>MOD(ROW(),2)=1</formula>
    </cfRule>
  </conditionalFormatting>
  <conditionalFormatting sqref="Q11">
    <cfRule type="expression" dxfId="381" priority="128" stopIfTrue="1">
      <formula>MOD(ROW(),2)=1</formula>
    </cfRule>
  </conditionalFormatting>
  <conditionalFormatting sqref="A19:P20">
    <cfRule type="expression" dxfId="380" priority="127" stopIfTrue="1">
      <formula>MOD(ROW(),2)=1</formula>
    </cfRule>
  </conditionalFormatting>
  <conditionalFormatting sqref="Q83">
    <cfRule type="expression" dxfId="379" priority="131" stopIfTrue="1">
      <formula>MOD(ROW(),2)=1</formula>
    </cfRule>
  </conditionalFormatting>
  <conditionalFormatting sqref="Q84:Q86">
    <cfRule type="expression" dxfId="378" priority="130" stopIfTrue="1">
      <formula>MOD(ROW(),2)=1</formula>
    </cfRule>
  </conditionalFormatting>
  <conditionalFormatting sqref="Q19:Q20">
    <cfRule type="expression" dxfId="377" priority="126" stopIfTrue="1">
      <formula>MOD(ROW(),2)=1</formula>
    </cfRule>
  </conditionalFormatting>
  <conditionalFormatting sqref="A44:P44">
    <cfRule type="expression" dxfId="376" priority="125" stopIfTrue="1">
      <formula>MOD(ROW(),2)=1</formula>
    </cfRule>
  </conditionalFormatting>
  <conditionalFormatting sqref="F44">
    <cfRule type="expression" dxfId="375" priority="124" stopIfTrue="1">
      <formula>MOD(ROW(),2)=1</formula>
    </cfRule>
  </conditionalFormatting>
  <conditionalFormatting sqref="K44">
    <cfRule type="expression" dxfId="374" priority="123" stopIfTrue="1">
      <formula>MOD(ROW(),2)=1</formula>
    </cfRule>
  </conditionalFormatting>
  <conditionalFormatting sqref="P44">
    <cfRule type="expression" dxfId="373" priority="122" stopIfTrue="1">
      <formula>MOD(ROW(),2)=1</formula>
    </cfRule>
  </conditionalFormatting>
  <conditionalFormatting sqref="Q44">
    <cfRule type="expression" dxfId="372" priority="121" stopIfTrue="1">
      <formula>MOD(ROW(),2)=1</formula>
    </cfRule>
  </conditionalFormatting>
  <conditionalFormatting sqref="A41:P42">
    <cfRule type="expression" dxfId="371" priority="120" stopIfTrue="1">
      <formula>MOD(ROW(),2)=1</formula>
    </cfRule>
  </conditionalFormatting>
  <conditionalFormatting sqref="Q41:Q42">
    <cfRule type="expression" dxfId="370" priority="116" stopIfTrue="1">
      <formula>MOD(ROW(),2)=1</formula>
    </cfRule>
  </conditionalFormatting>
  <conditionalFormatting sqref="F41:F42">
    <cfRule type="expression" dxfId="369" priority="119" stopIfTrue="1">
      <formula>MOD(ROW(),2)=1</formula>
    </cfRule>
  </conditionalFormatting>
  <conditionalFormatting sqref="K41:K42">
    <cfRule type="expression" dxfId="368" priority="118" stopIfTrue="1">
      <formula>MOD(ROW(),2)=1</formula>
    </cfRule>
  </conditionalFormatting>
  <conditionalFormatting sqref="P41:P42">
    <cfRule type="expression" dxfId="367" priority="117" stopIfTrue="1">
      <formula>MOD(ROW(),2)=1</formula>
    </cfRule>
  </conditionalFormatting>
  <conditionalFormatting sqref="B55:P57">
    <cfRule type="expression" dxfId="366" priority="115" stopIfTrue="1">
      <formula>MOD(ROW(),2)=1</formula>
    </cfRule>
  </conditionalFormatting>
  <conditionalFormatting sqref="Q55:Q57">
    <cfRule type="expression" dxfId="365" priority="114" stopIfTrue="1">
      <formula>MOD(ROW(),2)=1</formula>
    </cfRule>
  </conditionalFormatting>
  <conditionalFormatting sqref="A55:A56">
    <cfRule type="expression" dxfId="364" priority="113" stopIfTrue="1">
      <formula>MOD(ROW(),2)=1</formula>
    </cfRule>
  </conditionalFormatting>
  <conditionalFormatting sqref="A57">
    <cfRule type="expression" dxfId="363" priority="112" stopIfTrue="1">
      <formula>MOD(ROW(),2)=1</formula>
    </cfRule>
  </conditionalFormatting>
  <conditionalFormatting sqref="B68:P70">
    <cfRule type="expression" dxfId="362" priority="111" stopIfTrue="1">
      <formula>MOD(ROW(),2)=1</formula>
    </cfRule>
  </conditionalFormatting>
  <conditionalFormatting sqref="Q68:Q70">
    <cfRule type="expression" dxfId="361" priority="110" stopIfTrue="1">
      <formula>MOD(ROW(),2)=1</formula>
    </cfRule>
  </conditionalFormatting>
  <conditionalFormatting sqref="A68:A69">
    <cfRule type="expression" dxfId="360" priority="109" stopIfTrue="1">
      <formula>MOD(ROW(),2)=1</formula>
    </cfRule>
  </conditionalFormatting>
  <conditionalFormatting sqref="A70">
    <cfRule type="expression" dxfId="359" priority="108" stopIfTrue="1">
      <formula>MOD(ROW(),2)=1</formula>
    </cfRule>
  </conditionalFormatting>
  <conditionalFormatting sqref="R7:R10 R31:R40 R12:R18 R45:R54 R43 R58:R67 R71:R81 R21 R23:R29">
    <cfRule type="expression" dxfId="358" priority="107" stopIfTrue="1">
      <formula>MOD(ROW(),2)=1</formula>
    </cfRule>
  </conditionalFormatting>
  <conditionalFormatting sqref="R62">
    <cfRule type="expression" dxfId="357" priority="106" stopIfTrue="1">
      <formula>MOD(ROW(),2)=1</formula>
    </cfRule>
  </conditionalFormatting>
  <conditionalFormatting sqref="R30">
    <cfRule type="expression" dxfId="356" priority="105" stopIfTrue="1">
      <formula>MOD(ROW(),2)=1</formula>
    </cfRule>
  </conditionalFormatting>
  <conditionalFormatting sqref="R82">
    <cfRule type="expression" dxfId="355" priority="104" stopIfTrue="1">
      <formula>MOD(ROW(),2)=1</formula>
    </cfRule>
  </conditionalFormatting>
  <conditionalFormatting sqref="R11">
    <cfRule type="expression" dxfId="354" priority="101" stopIfTrue="1">
      <formula>MOD(ROW(),2)=1</formula>
    </cfRule>
  </conditionalFormatting>
  <conditionalFormatting sqref="R83">
    <cfRule type="expression" dxfId="353" priority="103" stopIfTrue="1">
      <formula>MOD(ROW(),2)=1</formula>
    </cfRule>
  </conditionalFormatting>
  <conditionalFormatting sqref="R84:R86">
    <cfRule type="expression" dxfId="352" priority="102" stopIfTrue="1">
      <formula>MOD(ROW(),2)=1</formula>
    </cfRule>
  </conditionalFormatting>
  <conditionalFormatting sqref="R19:R20">
    <cfRule type="expression" dxfId="351" priority="100" stopIfTrue="1">
      <formula>MOD(ROW(),2)=1</formula>
    </cfRule>
  </conditionalFormatting>
  <conditionalFormatting sqref="R44">
    <cfRule type="expression" dxfId="350" priority="99" stopIfTrue="1">
      <formula>MOD(ROW(),2)=1</formula>
    </cfRule>
  </conditionalFormatting>
  <conditionalFormatting sqref="R41:R42">
    <cfRule type="expression" dxfId="349" priority="98" stopIfTrue="1">
      <formula>MOD(ROW(),2)=1</formula>
    </cfRule>
  </conditionalFormatting>
  <conditionalFormatting sqref="R55:R57">
    <cfRule type="expression" dxfId="348" priority="97" stopIfTrue="1">
      <formula>MOD(ROW(),2)=1</formula>
    </cfRule>
  </conditionalFormatting>
  <conditionalFormatting sqref="R68:R70">
    <cfRule type="expression" dxfId="347" priority="96" stopIfTrue="1">
      <formula>MOD(ROW(),2)=1</formula>
    </cfRule>
  </conditionalFormatting>
  <conditionalFormatting sqref="S7:S10 S31:S40 S12:S18 S45:S54 S43 S58:S67 S71:S81 S21 S23:S29">
    <cfRule type="expression" dxfId="346" priority="95" stopIfTrue="1">
      <formula>MOD(ROW(),2)=1</formula>
    </cfRule>
  </conditionalFormatting>
  <conditionalFormatting sqref="S62">
    <cfRule type="expression" dxfId="345" priority="94" stopIfTrue="1">
      <formula>MOD(ROW(),2)=1</formula>
    </cfRule>
  </conditionalFormatting>
  <conditionalFormatting sqref="S30">
    <cfRule type="expression" dxfId="344" priority="93" stopIfTrue="1">
      <formula>MOD(ROW(),2)=1</formula>
    </cfRule>
  </conditionalFormatting>
  <conditionalFormatting sqref="S82">
    <cfRule type="expression" dxfId="343" priority="92" stopIfTrue="1">
      <formula>MOD(ROW(),2)=1</formula>
    </cfRule>
  </conditionalFormatting>
  <conditionalFormatting sqref="S11">
    <cfRule type="expression" dxfId="342" priority="89" stopIfTrue="1">
      <formula>MOD(ROW(),2)=1</formula>
    </cfRule>
  </conditionalFormatting>
  <conditionalFormatting sqref="S83">
    <cfRule type="expression" dxfId="341" priority="91" stopIfTrue="1">
      <formula>MOD(ROW(),2)=1</formula>
    </cfRule>
  </conditionalFormatting>
  <conditionalFormatting sqref="S84:S85">
    <cfRule type="expression" dxfId="340" priority="90" stopIfTrue="1">
      <formula>MOD(ROW(),2)=1</formula>
    </cfRule>
  </conditionalFormatting>
  <conditionalFormatting sqref="S19:S20">
    <cfRule type="expression" dxfId="339" priority="88" stopIfTrue="1">
      <formula>MOD(ROW(),2)=1</formula>
    </cfRule>
  </conditionalFormatting>
  <conditionalFormatting sqref="S44">
    <cfRule type="expression" dxfId="338" priority="87" stopIfTrue="1">
      <formula>MOD(ROW(),2)=1</formula>
    </cfRule>
  </conditionalFormatting>
  <conditionalFormatting sqref="S41:S42">
    <cfRule type="expression" dxfId="337" priority="86" stopIfTrue="1">
      <formula>MOD(ROW(),2)=1</formula>
    </cfRule>
  </conditionalFormatting>
  <conditionalFormatting sqref="S55:S57">
    <cfRule type="expression" dxfId="336" priority="85" stopIfTrue="1">
      <formula>MOD(ROW(),2)=1</formula>
    </cfRule>
  </conditionalFormatting>
  <conditionalFormatting sqref="S68:S70">
    <cfRule type="expression" dxfId="335" priority="84" stopIfTrue="1">
      <formula>MOD(ROW(),2)=1</formula>
    </cfRule>
  </conditionalFormatting>
  <conditionalFormatting sqref="T7:T10 T31:T40 T12:T18 T45:T54 T43 T58:T67 T71:T81 T21 T23:T29">
    <cfRule type="expression" dxfId="334" priority="83" stopIfTrue="1">
      <formula>MOD(ROW(),2)=1</formula>
    </cfRule>
  </conditionalFormatting>
  <conditionalFormatting sqref="T62">
    <cfRule type="expression" dxfId="333" priority="82" stopIfTrue="1">
      <formula>MOD(ROW(),2)=1</formula>
    </cfRule>
  </conditionalFormatting>
  <conditionalFormatting sqref="T30">
    <cfRule type="expression" dxfId="332" priority="81" stopIfTrue="1">
      <formula>MOD(ROW(),2)=1</formula>
    </cfRule>
  </conditionalFormatting>
  <conditionalFormatting sqref="T82">
    <cfRule type="expression" dxfId="331" priority="80" stopIfTrue="1">
      <formula>MOD(ROW(),2)=1</formula>
    </cfRule>
  </conditionalFormatting>
  <conditionalFormatting sqref="T11">
    <cfRule type="expression" dxfId="330" priority="77" stopIfTrue="1">
      <formula>MOD(ROW(),2)=1</formula>
    </cfRule>
  </conditionalFormatting>
  <conditionalFormatting sqref="T83">
    <cfRule type="expression" dxfId="329" priority="79" stopIfTrue="1">
      <formula>MOD(ROW(),2)=1</formula>
    </cfRule>
  </conditionalFormatting>
  <conditionalFormatting sqref="T84:T85">
    <cfRule type="expression" dxfId="328" priority="78" stopIfTrue="1">
      <formula>MOD(ROW(),2)=1</formula>
    </cfRule>
  </conditionalFormatting>
  <conditionalFormatting sqref="T19:T20">
    <cfRule type="expression" dxfId="327" priority="76" stopIfTrue="1">
      <formula>MOD(ROW(),2)=1</formula>
    </cfRule>
  </conditionalFormatting>
  <conditionalFormatting sqref="T44">
    <cfRule type="expression" dxfId="326" priority="75" stopIfTrue="1">
      <formula>MOD(ROW(),2)=1</formula>
    </cfRule>
  </conditionalFormatting>
  <conditionalFormatting sqref="T41:T42">
    <cfRule type="expression" dxfId="325" priority="74" stopIfTrue="1">
      <formula>MOD(ROW(),2)=1</formula>
    </cfRule>
  </conditionalFormatting>
  <conditionalFormatting sqref="T55:T57">
    <cfRule type="expression" dxfId="324" priority="73" stopIfTrue="1">
      <formula>MOD(ROW(),2)=1</formula>
    </cfRule>
  </conditionalFormatting>
  <conditionalFormatting sqref="T68:T70">
    <cfRule type="expression" dxfId="323" priority="72" stopIfTrue="1">
      <formula>MOD(ROW(),2)=1</formula>
    </cfRule>
  </conditionalFormatting>
  <conditionalFormatting sqref="U7:U10 U31:U40 U12:U18 U45:U54 U43 U58:U67 U71:U81 U21 U23:U29">
    <cfRule type="expression" dxfId="322" priority="71" stopIfTrue="1">
      <formula>MOD(ROW(),2)=1</formula>
    </cfRule>
  </conditionalFormatting>
  <conditionalFormatting sqref="U50 U36:U40 U45:U48 U43">
    <cfRule type="expression" dxfId="321" priority="70" stopIfTrue="1">
      <formula>MOD(ROW(),2)=1</formula>
    </cfRule>
  </conditionalFormatting>
  <conditionalFormatting sqref="U49">
    <cfRule type="expression" dxfId="320" priority="69" stopIfTrue="1">
      <formula>MOD(ROW(),2)=1</formula>
    </cfRule>
  </conditionalFormatting>
  <conditionalFormatting sqref="U30">
    <cfRule type="expression" dxfId="319" priority="68" stopIfTrue="1">
      <formula>MOD(ROW(),2)=1</formula>
    </cfRule>
  </conditionalFormatting>
  <conditionalFormatting sqref="U82">
    <cfRule type="expression" dxfId="318" priority="67" stopIfTrue="1">
      <formula>MOD(ROW(),2)=1</formula>
    </cfRule>
  </conditionalFormatting>
  <conditionalFormatting sqref="U83">
    <cfRule type="expression" dxfId="317" priority="66" stopIfTrue="1">
      <formula>MOD(ROW(),2)=1</formula>
    </cfRule>
  </conditionalFormatting>
  <conditionalFormatting sqref="U84:U86">
    <cfRule type="expression" dxfId="316" priority="65" stopIfTrue="1">
      <formula>MOD(ROW(),2)=1</formula>
    </cfRule>
  </conditionalFormatting>
  <conditionalFormatting sqref="U11">
    <cfRule type="expression" dxfId="315" priority="64" stopIfTrue="1">
      <formula>MOD(ROW(),2)=1</formula>
    </cfRule>
  </conditionalFormatting>
  <conditionalFormatting sqref="U19:U20">
    <cfRule type="expression" dxfId="314" priority="63" stopIfTrue="1">
      <formula>MOD(ROW(),2)=1</formula>
    </cfRule>
  </conditionalFormatting>
  <conditionalFormatting sqref="U44">
    <cfRule type="expression" dxfId="313" priority="62" stopIfTrue="1">
      <formula>MOD(ROW(),2)=1</formula>
    </cfRule>
  </conditionalFormatting>
  <conditionalFormatting sqref="U44">
    <cfRule type="expression" dxfId="312" priority="61" stopIfTrue="1">
      <formula>MOD(ROW(),2)=1</formula>
    </cfRule>
  </conditionalFormatting>
  <conditionalFormatting sqref="U41:U42">
    <cfRule type="expression" dxfId="311" priority="60" stopIfTrue="1">
      <formula>MOD(ROW(),2)=1</formula>
    </cfRule>
  </conditionalFormatting>
  <conditionalFormatting sqref="U41:U42">
    <cfRule type="expression" dxfId="310" priority="59" stopIfTrue="1">
      <formula>MOD(ROW(),2)=1</formula>
    </cfRule>
  </conditionalFormatting>
  <conditionalFormatting sqref="U55:U57">
    <cfRule type="expression" dxfId="309" priority="58" stopIfTrue="1">
      <formula>MOD(ROW(),2)=1</formula>
    </cfRule>
  </conditionalFormatting>
  <conditionalFormatting sqref="U68:U70">
    <cfRule type="expression" dxfId="308" priority="57" stopIfTrue="1">
      <formula>MOD(ROW(),2)=1</formula>
    </cfRule>
  </conditionalFormatting>
  <conditionalFormatting sqref="V7:V10 V31:V40 V12:V18 V45:V54 V43 V58:V67 V71:V81 V21:V29">
    <cfRule type="expression" dxfId="307" priority="56" stopIfTrue="1">
      <formula>MOD(ROW(),2)=1</formula>
    </cfRule>
  </conditionalFormatting>
  <conditionalFormatting sqref="V62">
    <cfRule type="expression" dxfId="306" priority="55" stopIfTrue="1">
      <formula>MOD(ROW(),2)=1</formula>
    </cfRule>
  </conditionalFormatting>
  <conditionalFormatting sqref="V30">
    <cfRule type="expression" dxfId="305" priority="54" stopIfTrue="1">
      <formula>MOD(ROW(),2)=1</formula>
    </cfRule>
  </conditionalFormatting>
  <conditionalFormatting sqref="V82">
    <cfRule type="expression" dxfId="304" priority="53" stopIfTrue="1">
      <formula>MOD(ROW(),2)=1</formula>
    </cfRule>
  </conditionalFormatting>
  <conditionalFormatting sqref="V11">
    <cfRule type="expression" dxfId="303" priority="50" stopIfTrue="1">
      <formula>MOD(ROW(),2)=1</formula>
    </cfRule>
  </conditionalFormatting>
  <conditionalFormatting sqref="V83">
    <cfRule type="expression" dxfId="302" priority="52" stopIfTrue="1">
      <formula>MOD(ROW(),2)=1</formula>
    </cfRule>
  </conditionalFormatting>
  <conditionalFormatting sqref="V84:V85">
    <cfRule type="expression" dxfId="301" priority="51" stopIfTrue="1">
      <formula>MOD(ROW(),2)=1</formula>
    </cfRule>
  </conditionalFormatting>
  <conditionalFormatting sqref="V19:V20">
    <cfRule type="expression" dxfId="300" priority="49" stopIfTrue="1">
      <formula>MOD(ROW(),2)=1</formula>
    </cfRule>
  </conditionalFormatting>
  <conditionalFormatting sqref="V44">
    <cfRule type="expression" dxfId="299" priority="48" stopIfTrue="1">
      <formula>MOD(ROW(),2)=1</formula>
    </cfRule>
  </conditionalFormatting>
  <conditionalFormatting sqref="V41:V42">
    <cfRule type="expression" dxfId="298" priority="47" stopIfTrue="1">
      <formula>MOD(ROW(),2)=1</formula>
    </cfRule>
  </conditionalFormatting>
  <conditionalFormatting sqref="V55:V57">
    <cfRule type="expression" dxfId="297" priority="46" stopIfTrue="1">
      <formula>MOD(ROW(),2)=1</formula>
    </cfRule>
  </conditionalFormatting>
  <conditionalFormatting sqref="V68:V70">
    <cfRule type="expression" dxfId="296" priority="45" stopIfTrue="1">
      <formula>MOD(ROW(),2)=1</formula>
    </cfRule>
  </conditionalFormatting>
  <conditionalFormatting sqref="U22">
    <cfRule type="expression" dxfId="295" priority="44" stopIfTrue="1">
      <formula>MOD(ROW(),2)=1</formula>
    </cfRule>
  </conditionalFormatting>
  <conditionalFormatting sqref="T22">
    <cfRule type="expression" dxfId="294" priority="43" stopIfTrue="1">
      <formula>MOD(ROW(),2)=1</formula>
    </cfRule>
  </conditionalFormatting>
  <conditionalFormatting sqref="S22">
    <cfRule type="expression" dxfId="293" priority="42" stopIfTrue="1">
      <formula>MOD(ROW(),2)=1</formula>
    </cfRule>
  </conditionalFormatting>
  <conditionalFormatting sqref="R22">
    <cfRule type="expression" dxfId="292" priority="41" stopIfTrue="1">
      <formula>MOD(ROW(),2)=1</formula>
    </cfRule>
  </conditionalFormatting>
  <conditionalFormatting sqref="Q22">
    <cfRule type="expression" dxfId="291" priority="40" stopIfTrue="1">
      <formula>MOD(ROW(),2)=1</formula>
    </cfRule>
  </conditionalFormatting>
  <conditionalFormatting sqref="P22">
    <cfRule type="expression" dxfId="290" priority="39" stopIfTrue="1">
      <formula>MOD(ROW(),2)=1</formula>
    </cfRule>
  </conditionalFormatting>
  <conditionalFormatting sqref="O22">
    <cfRule type="expression" dxfId="289" priority="38" stopIfTrue="1">
      <formula>MOD(ROW(),2)=1</formula>
    </cfRule>
  </conditionalFormatting>
  <conditionalFormatting sqref="N22">
    <cfRule type="expression" dxfId="288" priority="37" stopIfTrue="1">
      <formula>MOD(ROW(),2)=1</formula>
    </cfRule>
  </conditionalFormatting>
  <conditionalFormatting sqref="M22">
    <cfRule type="expression" dxfId="287" priority="36" stopIfTrue="1">
      <formula>MOD(ROW(),2)=1</formula>
    </cfRule>
  </conditionalFormatting>
  <conditionalFormatting sqref="L22">
    <cfRule type="expression" dxfId="286" priority="35" stopIfTrue="1">
      <formula>MOD(ROW(),2)=1</formula>
    </cfRule>
  </conditionalFormatting>
  <conditionalFormatting sqref="K22">
    <cfRule type="expression" dxfId="285" priority="34" stopIfTrue="1">
      <formula>MOD(ROW(),2)=1</formula>
    </cfRule>
  </conditionalFormatting>
  <conditionalFormatting sqref="J22">
    <cfRule type="expression" dxfId="284" priority="33" stopIfTrue="1">
      <formula>MOD(ROW(),2)=1</formula>
    </cfRule>
  </conditionalFormatting>
  <conditionalFormatting sqref="I22">
    <cfRule type="expression" dxfId="283" priority="32" stopIfTrue="1">
      <formula>MOD(ROW(),2)=1</formula>
    </cfRule>
  </conditionalFormatting>
  <conditionalFormatting sqref="H22">
    <cfRule type="expression" dxfId="282" priority="31" stopIfTrue="1">
      <formula>MOD(ROW(),2)=1</formula>
    </cfRule>
  </conditionalFormatting>
  <conditionalFormatting sqref="G22">
    <cfRule type="expression" dxfId="281" priority="30" stopIfTrue="1">
      <formula>MOD(ROW(),2)=1</formula>
    </cfRule>
  </conditionalFormatting>
  <conditionalFormatting sqref="F22">
    <cfRule type="expression" dxfId="280" priority="29" stopIfTrue="1">
      <formula>MOD(ROW(),2)=1</formula>
    </cfRule>
  </conditionalFormatting>
  <conditionalFormatting sqref="E22">
    <cfRule type="expression" dxfId="279" priority="28" stopIfTrue="1">
      <formula>MOD(ROW(),2)=1</formula>
    </cfRule>
  </conditionalFormatting>
  <conditionalFormatting sqref="D22">
    <cfRule type="expression" dxfId="278" priority="27" stopIfTrue="1">
      <formula>MOD(ROW(),2)=1</formula>
    </cfRule>
  </conditionalFormatting>
  <conditionalFormatting sqref="C22">
    <cfRule type="expression" dxfId="277" priority="26" stopIfTrue="1">
      <formula>MOD(ROW(),2)=1</formula>
    </cfRule>
  </conditionalFormatting>
  <conditionalFormatting sqref="B22">
    <cfRule type="expression" dxfId="276" priority="25" stopIfTrue="1">
      <formula>MOD(ROW(),2)=1</formula>
    </cfRule>
  </conditionalFormatting>
  <conditionalFormatting sqref="W7:W10 W31:W40 W12:W18 W45:W54 W43 W58:W67 W71:W81 W21:W29">
    <cfRule type="expression" dxfId="275" priority="24" stopIfTrue="1">
      <formula>MOD(ROW(),2)=1</formula>
    </cfRule>
  </conditionalFormatting>
  <conditionalFormatting sqref="W62">
    <cfRule type="expression" dxfId="274" priority="23" stopIfTrue="1">
      <formula>MOD(ROW(),2)=1</formula>
    </cfRule>
  </conditionalFormatting>
  <conditionalFormatting sqref="W30">
    <cfRule type="expression" dxfId="273" priority="22" stopIfTrue="1">
      <formula>MOD(ROW(),2)=1</formula>
    </cfRule>
  </conditionalFormatting>
  <conditionalFormatting sqref="W82">
    <cfRule type="expression" dxfId="272" priority="21" stopIfTrue="1">
      <formula>MOD(ROW(),2)=1</formula>
    </cfRule>
  </conditionalFormatting>
  <conditionalFormatting sqref="W11">
    <cfRule type="expression" dxfId="271" priority="18" stopIfTrue="1">
      <formula>MOD(ROW(),2)=1</formula>
    </cfRule>
  </conditionalFormatting>
  <conditionalFormatting sqref="W83">
    <cfRule type="expression" dxfId="270" priority="20" stopIfTrue="1">
      <formula>MOD(ROW(),2)=1</formula>
    </cfRule>
  </conditionalFormatting>
  <conditionalFormatting sqref="W84:W85">
    <cfRule type="expression" dxfId="269" priority="19" stopIfTrue="1">
      <formula>MOD(ROW(),2)=1</formula>
    </cfRule>
  </conditionalFormatting>
  <conditionalFormatting sqref="W19:W20">
    <cfRule type="expression" dxfId="268" priority="17" stopIfTrue="1">
      <formula>MOD(ROW(),2)=1</formula>
    </cfRule>
  </conditionalFormatting>
  <conditionalFormatting sqref="W44">
    <cfRule type="expression" dxfId="267" priority="16" stopIfTrue="1">
      <formula>MOD(ROW(),2)=1</formula>
    </cfRule>
  </conditionalFormatting>
  <conditionalFormatting sqref="W41:W42">
    <cfRule type="expression" dxfId="266" priority="15" stopIfTrue="1">
      <formula>MOD(ROW(),2)=1</formula>
    </cfRule>
  </conditionalFormatting>
  <conditionalFormatting sqref="W55:W57">
    <cfRule type="expression" dxfId="265" priority="14" stopIfTrue="1">
      <formula>MOD(ROW(),2)=1</formula>
    </cfRule>
  </conditionalFormatting>
  <conditionalFormatting sqref="W68:W70">
    <cfRule type="expression" dxfId="264" priority="13" stopIfTrue="1">
      <formula>MOD(ROW(),2)=1</formula>
    </cfRule>
  </conditionalFormatting>
  <conditionalFormatting sqref="X7:X10 X31:X40 X12:X18 X45:X54 X43 X58:X67 X71:X81 X21:X29">
    <cfRule type="expression" dxfId="263" priority="12" stopIfTrue="1">
      <formula>MOD(ROW(),2)=1</formula>
    </cfRule>
  </conditionalFormatting>
  <conditionalFormatting sqref="X62">
    <cfRule type="expression" dxfId="262" priority="11" stopIfTrue="1">
      <formula>MOD(ROW(),2)=1</formula>
    </cfRule>
  </conditionalFormatting>
  <conditionalFormatting sqref="X30">
    <cfRule type="expression" dxfId="261" priority="10" stopIfTrue="1">
      <formula>MOD(ROW(),2)=1</formula>
    </cfRule>
  </conditionalFormatting>
  <conditionalFormatting sqref="X82">
    <cfRule type="expression" dxfId="260" priority="9" stopIfTrue="1">
      <formula>MOD(ROW(),2)=1</formula>
    </cfRule>
  </conditionalFormatting>
  <conditionalFormatting sqref="X11">
    <cfRule type="expression" dxfId="259" priority="6" stopIfTrue="1">
      <formula>MOD(ROW(),2)=1</formula>
    </cfRule>
  </conditionalFormatting>
  <conditionalFormatting sqref="X83">
    <cfRule type="expression" dxfId="258" priority="8" stopIfTrue="1">
      <formula>MOD(ROW(),2)=1</formula>
    </cfRule>
  </conditionalFormatting>
  <conditionalFormatting sqref="X84:X85">
    <cfRule type="expression" dxfId="257" priority="7" stopIfTrue="1">
      <formula>MOD(ROW(),2)=1</formula>
    </cfRule>
  </conditionalFormatting>
  <conditionalFormatting sqref="X19:X20">
    <cfRule type="expression" dxfId="256" priority="5" stopIfTrue="1">
      <formula>MOD(ROW(),2)=1</formula>
    </cfRule>
  </conditionalFormatting>
  <conditionalFormatting sqref="X44">
    <cfRule type="expression" dxfId="255" priority="4" stopIfTrue="1">
      <formula>MOD(ROW(),2)=1</formula>
    </cfRule>
  </conditionalFormatting>
  <conditionalFormatting sqref="X41:X42">
    <cfRule type="expression" dxfId="254" priority="3" stopIfTrue="1">
      <formula>MOD(ROW(),2)=1</formula>
    </cfRule>
  </conditionalFormatting>
  <conditionalFormatting sqref="X55:X57">
    <cfRule type="expression" dxfId="253" priority="2" stopIfTrue="1">
      <formula>MOD(ROW(),2)=1</formula>
    </cfRule>
  </conditionalFormatting>
  <conditionalFormatting sqref="X68:X70">
    <cfRule type="expression" dxfId="252" priority="1" stopIfTrue="1">
      <formula>MOD(ROW(),2)=1</formula>
    </cfRule>
  </conditionalFormatting>
  <pageMargins left="0.7" right="0.7" top="0.75" bottom="0.75" header="0.3" footer="0.3"/>
  <pageSetup paperSize="3" scale="67" orientation="landscape" horizontalDpi="1200" verticalDpi="1200" r:id="rId1"/>
  <ignoredErrors>
    <ignoredError sqref="F45:P51 F71:P79 F60:I60 G52:P52 L60:O60 F58:P59 F43:P43 F23:P40 F53:P54 F61:P67" formula="1"/>
    <ignoredError sqref="P60" formula="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71D1D-C29A-4CC3-891F-F37A55BE8CE0}">
  <sheetPr>
    <tabColor theme="9" tint="0.59999389629810485"/>
    <pageSetUpPr fitToPage="1"/>
  </sheetPr>
  <dimension ref="A1:T45"/>
  <sheetViews>
    <sheetView showGridLines="0" zoomScaleNormal="100" workbookViewId="0">
      <pane xSplit="1" ySplit="5" topLeftCell="G15" activePane="bottomRight" state="frozen"/>
      <selection pane="topRight"/>
      <selection pane="bottomLeft"/>
      <selection pane="bottomRight" activeCell="A39" sqref="A39:XFD39"/>
    </sheetView>
  </sheetViews>
  <sheetFormatPr defaultColWidth="9.28515625" defaultRowHeight="12.75" x14ac:dyDescent="0.2"/>
  <cols>
    <col min="1" max="1" width="63.7109375" style="2" customWidth="1"/>
    <col min="2" max="16" width="13.7109375" style="2" customWidth="1"/>
    <col min="17" max="17" width="13.7109375" style="101" customWidth="1"/>
    <col min="18" max="20" width="13.7109375" style="2" customWidth="1"/>
    <col min="21" max="16384" width="9.28515625" style="2"/>
  </cols>
  <sheetData>
    <row r="1" spans="1:20" s="19" customFormat="1" x14ac:dyDescent="0.2">
      <c r="A1" s="36" t="s">
        <v>78</v>
      </c>
      <c r="B1" s="37"/>
      <c r="C1" s="37"/>
      <c r="D1" s="37"/>
      <c r="E1" s="37"/>
      <c r="F1" s="37"/>
      <c r="G1" s="37"/>
      <c r="H1" s="37" t="s">
        <v>94</v>
      </c>
      <c r="I1" s="37"/>
      <c r="J1" s="37"/>
      <c r="K1" s="37"/>
      <c r="L1" s="37"/>
      <c r="M1" s="37"/>
      <c r="N1" s="37"/>
      <c r="O1" s="37"/>
      <c r="P1" s="37"/>
      <c r="Q1" s="37"/>
      <c r="R1" s="37"/>
      <c r="S1" s="37"/>
      <c r="T1" s="37"/>
    </row>
    <row r="2" spans="1:20" s="19" customFormat="1" x14ac:dyDescent="0.2">
      <c r="A2" s="36" t="s">
        <v>101</v>
      </c>
      <c r="B2" s="37"/>
      <c r="C2" s="37"/>
      <c r="D2" s="37"/>
      <c r="E2" s="37"/>
      <c r="F2" s="37"/>
      <c r="G2" s="37"/>
      <c r="H2" s="37"/>
      <c r="I2" s="37"/>
      <c r="J2" s="37"/>
      <c r="K2" s="37"/>
      <c r="L2" s="37"/>
      <c r="M2" s="37"/>
      <c r="N2" s="37"/>
      <c r="O2" s="37"/>
      <c r="P2" s="37"/>
      <c r="Q2" s="37"/>
      <c r="R2" s="37"/>
      <c r="S2" s="37"/>
      <c r="T2" s="37"/>
    </row>
    <row r="3" spans="1:20" s="19" customFormat="1" x14ac:dyDescent="0.2">
      <c r="A3" s="38" t="s">
        <v>151</v>
      </c>
      <c r="B3" s="37"/>
      <c r="C3" s="37"/>
      <c r="D3" s="37"/>
      <c r="E3" s="37"/>
      <c r="F3" s="37"/>
      <c r="G3" s="37"/>
      <c r="H3" s="37"/>
      <c r="I3" s="37"/>
      <c r="J3" s="37"/>
      <c r="K3" s="37"/>
      <c r="L3" s="37"/>
      <c r="M3" s="37"/>
      <c r="N3" s="37"/>
      <c r="O3" s="37"/>
      <c r="P3" s="37"/>
      <c r="Q3" s="37"/>
      <c r="R3" s="37"/>
      <c r="S3" s="37"/>
      <c r="T3" s="37"/>
    </row>
    <row r="4" spans="1:20" s="19" customFormat="1" x14ac:dyDescent="0.2">
      <c r="A4" s="38" t="s">
        <v>150</v>
      </c>
      <c r="B4" s="37"/>
      <c r="C4" s="37"/>
      <c r="D4" s="37"/>
      <c r="E4" s="37"/>
      <c r="F4" s="37"/>
      <c r="G4" s="37"/>
      <c r="H4" s="37"/>
      <c r="I4" s="37"/>
      <c r="J4" s="37"/>
      <c r="K4" s="37"/>
      <c r="L4" s="37"/>
      <c r="M4" s="37"/>
      <c r="N4" s="37"/>
      <c r="O4" s="37"/>
      <c r="P4" s="37"/>
      <c r="Q4" s="37"/>
      <c r="R4" s="37"/>
      <c r="S4" s="37"/>
      <c r="T4" s="37"/>
    </row>
    <row r="5" spans="1:20" s="17" customFormat="1" ht="13.15" customHeight="1" x14ac:dyDescent="0.2">
      <c r="B5" s="45">
        <v>42460</v>
      </c>
      <c r="C5" s="45">
        <v>42551</v>
      </c>
      <c r="D5" s="45">
        <v>42643</v>
      </c>
      <c r="E5" s="44">
        <v>42735</v>
      </c>
      <c r="F5" s="45">
        <v>42825</v>
      </c>
      <c r="G5" s="45">
        <v>42916</v>
      </c>
      <c r="H5" s="45">
        <v>43008</v>
      </c>
      <c r="I5" s="44">
        <v>43100</v>
      </c>
      <c r="J5" s="45">
        <v>43190</v>
      </c>
      <c r="K5" s="45">
        <v>43281</v>
      </c>
      <c r="L5" s="45">
        <v>43373</v>
      </c>
      <c r="M5" s="44">
        <v>43465</v>
      </c>
      <c r="N5" s="45">
        <v>43555</v>
      </c>
      <c r="O5" s="45">
        <v>43646</v>
      </c>
      <c r="P5" s="45">
        <v>43738</v>
      </c>
      <c r="Q5" s="44">
        <v>43830</v>
      </c>
      <c r="R5" s="45">
        <v>43921</v>
      </c>
      <c r="S5" s="45">
        <v>44012</v>
      </c>
      <c r="T5" s="45">
        <v>44104</v>
      </c>
    </row>
    <row r="6" spans="1:20" x14ac:dyDescent="0.2">
      <c r="A6" s="39" t="s">
        <v>17</v>
      </c>
      <c r="B6" s="3"/>
      <c r="C6" s="3"/>
      <c r="D6" s="3"/>
      <c r="E6" s="24"/>
      <c r="F6" s="3"/>
      <c r="G6" s="3"/>
      <c r="H6" s="3"/>
      <c r="I6" s="24"/>
      <c r="J6" s="3"/>
      <c r="K6" s="3"/>
      <c r="L6" s="3"/>
      <c r="M6" s="24"/>
      <c r="N6" s="3"/>
      <c r="O6" s="3"/>
      <c r="P6" s="3"/>
      <c r="Q6" s="24"/>
      <c r="R6" s="3"/>
      <c r="S6" s="3"/>
      <c r="T6" s="3"/>
    </row>
    <row r="7" spans="1:20" x14ac:dyDescent="0.2">
      <c r="A7" s="1" t="s">
        <v>18</v>
      </c>
      <c r="B7" s="3"/>
      <c r="C7" s="3"/>
      <c r="D7" s="3"/>
      <c r="E7" s="24"/>
      <c r="F7" s="3"/>
      <c r="G7" s="3"/>
      <c r="H7" s="3"/>
      <c r="I7" s="24"/>
      <c r="J7" s="3"/>
      <c r="K7" s="3"/>
      <c r="L7" s="3"/>
      <c r="M7" s="24"/>
      <c r="N7" s="3"/>
      <c r="O7" s="3"/>
      <c r="P7" s="3"/>
      <c r="Q7" s="24"/>
      <c r="R7" s="3"/>
      <c r="S7" s="3"/>
      <c r="T7" s="3"/>
    </row>
    <row r="8" spans="1:20" x14ac:dyDescent="0.2">
      <c r="A8" s="14" t="s">
        <v>19</v>
      </c>
      <c r="B8" s="40">
        <v>7824</v>
      </c>
      <c r="C8" s="40">
        <v>65378</v>
      </c>
      <c r="D8" s="40">
        <v>72855</v>
      </c>
      <c r="E8" s="46">
        <v>82584</v>
      </c>
      <c r="F8" s="40">
        <v>101664</v>
      </c>
      <c r="G8" s="40">
        <v>110324</v>
      </c>
      <c r="H8" s="40">
        <v>116803</v>
      </c>
      <c r="I8" s="46">
        <v>120457</v>
      </c>
      <c r="J8" s="40">
        <v>102340</v>
      </c>
      <c r="K8" s="40">
        <v>125719</v>
      </c>
      <c r="L8" s="40">
        <v>137535</v>
      </c>
      <c r="M8" s="46">
        <v>76639</v>
      </c>
      <c r="N8" s="40">
        <v>104787</v>
      </c>
      <c r="O8" s="40">
        <v>97970</v>
      </c>
      <c r="P8" s="40">
        <v>94747</v>
      </c>
      <c r="Q8" s="46">
        <v>83310</v>
      </c>
      <c r="R8" s="40">
        <v>79484</v>
      </c>
      <c r="S8" s="40">
        <v>80987</v>
      </c>
      <c r="T8" s="40">
        <v>148919</v>
      </c>
    </row>
    <row r="9" spans="1:20" x14ac:dyDescent="0.2">
      <c r="A9" s="41" t="s">
        <v>143</v>
      </c>
      <c r="B9" s="5">
        <v>14710</v>
      </c>
      <c r="C9" s="5">
        <v>22531</v>
      </c>
      <c r="D9" s="5">
        <v>37175</v>
      </c>
      <c r="E9" s="25">
        <v>14842</v>
      </c>
      <c r="F9" s="5">
        <v>16328</v>
      </c>
      <c r="G9" s="5">
        <v>23536</v>
      </c>
      <c r="H9" s="5">
        <v>23461</v>
      </c>
      <c r="I9" s="25">
        <v>11240</v>
      </c>
      <c r="J9" s="5">
        <v>28212</v>
      </c>
      <c r="K9" s="5">
        <v>43322</v>
      </c>
      <c r="L9" s="5">
        <v>39029</v>
      </c>
      <c r="M9" s="25">
        <v>21405</v>
      </c>
      <c r="N9" s="5">
        <v>18009</v>
      </c>
      <c r="O9" s="5">
        <v>24479</v>
      </c>
      <c r="P9" s="5">
        <v>27214</v>
      </c>
      <c r="Q9" s="25">
        <v>14167</v>
      </c>
      <c r="R9" s="5">
        <v>23356</v>
      </c>
      <c r="S9" s="5">
        <v>24588</v>
      </c>
      <c r="T9" s="5">
        <v>50084</v>
      </c>
    </row>
    <row r="10" spans="1:20" x14ac:dyDescent="0.2">
      <c r="A10" s="14" t="s">
        <v>156</v>
      </c>
      <c r="B10" s="5">
        <v>25028</v>
      </c>
      <c r="C10" s="5">
        <v>30045</v>
      </c>
      <c r="D10" s="5">
        <v>41006</v>
      </c>
      <c r="E10" s="25">
        <v>52622</v>
      </c>
      <c r="F10" s="5">
        <v>45347</v>
      </c>
      <c r="G10" s="5">
        <v>40124</v>
      </c>
      <c r="H10" s="5">
        <v>39261</v>
      </c>
      <c r="I10" s="25">
        <v>50132</v>
      </c>
      <c r="J10" s="5">
        <v>62153</v>
      </c>
      <c r="K10" s="5">
        <v>63384</v>
      </c>
      <c r="L10" s="5">
        <v>73864</v>
      </c>
      <c r="M10" s="25">
        <v>60805</v>
      </c>
      <c r="N10" s="5">
        <v>62408</v>
      </c>
      <c r="O10" s="5">
        <v>54121</v>
      </c>
      <c r="P10" s="5">
        <v>54202</v>
      </c>
      <c r="Q10" s="25">
        <v>65781</v>
      </c>
      <c r="R10" s="5">
        <v>55707</v>
      </c>
      <c r="S10" s="5">
        <v>52215</v>
      </c>
      <c r="T10" s="5">
        <v>58572</v>
      </c>
    </row>
    <row r="11" spans="1:20" x14ac:dyDescent="0.2">
      <c r="A11" s="14" t="s">
        <v>20</v>
      </c>
      <c r="B11" s="11">
        <v>14106</v>
      </c>
      <c r="C11" s="11">
        <v>17162</v>
      </c>
      <c r="D11" s="11">
        <v>9940</v>
      </c>
      <c r="E11" s="29">
        <v>13597</v>
      </c>
      <c r="F11" s="11">
        <v>8675</v>
      </c>
      <c r="G11" s="11">
        <v>12396</v>
      </c>
      <c r="H11" s="11">
        <v>8820</v>
      </c>
      <c r="I11" s="29">
        <v>11478</v>
      </c>
      <c r="J11" s="11">
        <v>21824</v>
      </c>
      <c r="K11" s="11">
        <v>18025</v>
      </c>
      <c r="L11" s="11">
        <v>18988</v>
      </c>
      <c r="M11" s="29">
        <v>22675</v>
      </c>
      <c r="N11" s="11">
        <v>18625</v>
      </c>
      <c r="O11" s="11">
        <v>19890</v>
      </c>
      <c r="P11" s="11">
        <v>23492</v>
      </c>
      <c r="Q11" s="29">
        <v>20183</v>
      </c>
      <c r="R11" s="11">
        <v>15626</v>
      </c>
      <c r="S11" s="11">
        <v>22107</v>
      </c>
      <c r="T11" s="11">
        <v>21090</v>
      </c>
    </row>
    <row r="12" spans="1:20" x14ac:dyDescent="0.2">
      <c r="A12" s="14" t="s">
        <v>120</v>
      </c>
      <c r="B12" s="6">
        <v>0</v>
      </c>
      <c r="C12" s="6">
        <v>0</v>
      </c>
      <c r="D12" s="6">
        <v>0</v>
      </c>
      <c r="E12" s="26">
        <v>0</v>
      </c>
      <c r="F12" s="6">
        <v>0</v>
      </c>
      <c r="G12" s="6">
        <v>0</v>
      </c>
      <c r="H12" s="6">
        <v>0</v>
      </c>
      <c r="I12" s="26">
        <v>0</v>
      </c>
      <c r="J12" s="6">
        <v>0</v>
      </c>
      <c r="K12" s="6">
        <v>0</v>
      </c>
      <c r="L12" s="6">
        <v>0</v>
      </c>
      <c r="M12" s="26">
        <v>80674</v>
      </c>
      <c r="N12" s="6">
        <v>0</v>
      </c>
      <c r="O12" s="6">
        <v>0</v>
      </c>
      <c r="P12" s="6">
        <v>0</v>
      </c>
      <c r="Q12" s="26">
        <v>0</v>
      </c>
      <c r="R12" s="6">
        <v>0</v>
      </c>
      <c r="S12" s="6">
        <v>0</v>
      </c>
      <c r="T12" s="6">
        <v>0</v>
      </c>
    </row>
    <row r="13" spans="1:20" x14ac:dyDescent="0.2">
      <c r="A13" s="42" t="s">
        <v>21</v>
      </c>
      <c r="B13" s="10">
        <f>SUM(B8:B12)</f>
        <v>61668</v>
      </c>
      <c r="C13" s="10">
        <f t="shared" ref="C13:M13" si="0">SUM(C8:C12)</f>
        <v>135116</v>
      </c>
      <c r="D13" s="10">
        <f t="shared" si="0"/>
        <v>160976</v>
      </c>
      <c r="E13" s="28">
        <f t="shared" si="0"/>
        <v>163645</v>
      </c>
      <c r="F13" s="10">
        <f t="shared" si="0"/>
        <v>172014</v>
      </c>
      <c r="G13" s="10">
        <f t="shared" si="0"/>
        <v>186380</v>
      </c>
      <c r="H13" s="10">
        <f t="shared" si="0"/>
        <v>188345</v>
      </c>
      <c r="I13" s="28">
        <f t="shared" si="0"/>
        <v>193307</v>
      </c>
      <c r="J13" s="10">
        <f t="shared" si="0"/>
        <v>214529</v>
      </c>
      <c r="K13" s="10">
        <f t="shared" si="0"/>
        <v>250450</v>
      </c>
      <c r="L13" s="10">
        <f t="shared" si="0"/>
        <v>269416</v>
      </c>
      <c r="M13" s="28">
        <f t="shared" si="0"/>
        <v>262198</v>
      </c>
      <c r="N13" s="10">
        <f t="shared" ref="N13:O13" si="1">SUM(N8:N12)</f>
        <v>203829</v>
      </c>
      <c r="O13" s="10">
        <f t="shared" si="1"/>
        <v>196460</v>
      </c>
      <c r="P13" s="10">
        <f t="shared" ref="P13:Q13" si="2">SUM(P8:P12)</f>
        <v>199655</v>
      </c>
      <c r="Q13" s="28">
        <f t="shared" si="2"/>
        <v>183441</v>
      </c>
      <c r="R13" s="10">
        <f t="shared" ref="R13:S13" si="3">SUM(R8:R12)</f>
        <v>174173</v>
      </c>
      <c r="S13" s="10">
        <f t="shared" si="3"/>
        <v>179897</v>
      </c>
      <c r="T13" s="10">
        <f t="shared" ref="T13" si="4">SUM(T8:T12)</f>
        <v>278665</v>
      </c>
    </row>
    <row r="14" spans="1:20" x14ac:dyDescent="0.2">
      <c r="A14" s="1" t="s">
        <v>22</v>
      </c>
      <c r="B14" s="5">
        <v>74060</v>
      </c>
      <c r="C14" s="5">
        <v>74558</v>
      </c>
      <c r="D14" s="5">
        <v>73259</v>
      </c>
      <c r="E14" s="25">
        <v>72820</v>
      </c>
      <c r="F14" s="5">
        <v>74466</v>
      </c>
      <c r="G14" s="5">
        <v>74671</v>
      </c>
      <c r="H14" s="5">
        <v>76138</v>
      </c>
      <c r="I14" s="25">
        <v>77229</v>
      </c>
      <c r="J14" s="5">
        <v>343176</v>
      </c>
      <c r="K14" s="5">
        <v>339704</v>
      </c>
      <c r="L14" s="5">
        <v>340146</v>
      </c>
      <c r="M14" s="25">
        <v>272193</v>
      </c>
      <c r="N14" s="5">
        <v>273118</v>
      </c>
      <c r="O14" s="5">
        <v>276592</v>
      </c>
      <c r="P14" s="5">
        <v>278587</v>
      </c>
      <c r="Q14" s="25">
        <v>286383</v>
      </c>
      <c r="R14" s="5">
        <v>286881</v>
      </c>
      <c r="S14" s="5">
        <v>286169</v>
      </c>
      <c r="T14" s="5">
        <v>289305</v>
      </c>
    </row>
    <row r="15" spans="1:20" x14ac:dyDescent="0.2">
      <c r="A15" s="1" t="s">
        <v>23</v>
      </c>
      <c r="B15" s="5">
        <v>0</v>
      </c>
      <c r="C15" s="5">
        <v>0</v>
      </c>
      <c r="D15" s="5">
        <v>0</v>
      </c>
      <c r="E15" s="25">
        <v>0</v>
      </c>
      <c r="F15" s="5">
        <v>0</v>
      </c>
      <c r="G15" s="5">
        <v>0</v>
      </c>
      <c r="H15" s="5">
        <v>0</v>
      </c>
      <c r="I15" s="25">
        <v>0</v>
      </c>
      <c r="J15" s="5">
        <v>78454</v>
      </c>
      <c r="K15" s="5">
        <v>75578</v>
      </c>
      <c r="L15" s="5">
        <v>76523</v>
      </c>
      <c r="M15" s="25">
        <v>79537</v>
      </c>
      <c r="N15" s="5">
        <v>80675</v>
      </c>
      <c r="O15" s="5">
        <v>79238</v>
      </c>
      <c r="P15" s="5">
        <v>76924</v>
      </c>
      <c r="Q15" s="25">
        <v>74233</v>
      </c>
      <c r="R15" s="5">
        <v>72582</v>
      </c>
      <c r="S15" s="5">
        <v>73541</v>
      </c>
      <c r="T15" s="5">
        <v>74216</v>
      </c>
    </row>
    <row r="16" spans="1:20" x14ac:dyDescent="0.2">
      <c r="A16" s="1" t="s">
        <v>24</v>
      </c>
      <c r="B16" s="5">
        <v>810856</v>
      </c>
      <c r="C16" s="5">
        <v>643814</v>
      </c>
      <c r="D16" s="5">
        <v>647875</v>
      </c>
      <c r="E16" s="25">
        <v>641856</v>
      </c>
      <c r="F16" s="5">
        <v>637319</v>
      </c>
      <c r="G16" s="5">
        <v>639178</v>
      </c>
      <c r="H16" s="5">
        <v>657546</v>
      </c>
      <c r="I16" s="25">
        <v>654476</v>
      </c>
      <c r="J16" s="5">
        <v>1704341</v>
      </c>
      <c r="K16" s="5">
        <v>1691785</v>
      </c>
      <c r="L16" s="5">
        <v>1684049</v>
      </c>
      <c r="M16" s="25">
        <v>1672815</v>
      </c>
      <c r="N16" s="5">
        <v>1666168</v>
      </c>
      <c r="O16" s="5">
        <v>1655853</v>
      </c>
      <c r="P16" s="5">
        <v>1649196</v>
      </c>
      <c r="Q16" s="25">
        <v>1638663</v>
      </c>
      <c r="R16" s="5">
        <v>1630496</v>
      </c>
      <c r="S16" s="5">
        <v>1618975</v>
      </c>
      <c r="T16" s="5">
        <v>1608026</v>
      </c>
    </row>
    <row r="17" spans="1:20" x14ac:dyDescent="0.2">
      <c r="A17" s="1" t="s">
        <v>25</v>
      </c>
      <c r="B17" s="5">
        <v>46645</v>
      </c>
      <c r="C17" s="5">
        <v>51569</v>
      </c>
      <c r="D17" s="5">
        <v>42393</v>
      </c>
      <c r="E17" s="25">
        <v>42051</v>
      </c>
      <c r="F17" s="5">
        <v>41550</v>
      </c>
      <c r="G17" s="5">
        <v>39445</v>
      </c>
      <c r="H17" s="5">
        <v>40889</v>
      </c>
      <c r="I17" s="25">
        <v>19796</v>
      </c>
      <c r="J17" s="5">
        <v>0</v>
      </c>
      <c r="K17" s="5">
        <v>0</v>
      </c>
      <c r="L17" s="5">
        <v>0</v>
      </c>
      <c r="M17" s="25">
        <v>0</v>
      </c>
      <c r="N17" s="5">
        <v>0</v>
      </c>
      <c r="O17" s="5">
        <v>0</v>
      </c>
      <c r="P17" s="5">
        <v>0</v>
      </c>
      <c r="Q17" s="25">
        <v>0</v>
      </c>
      <c r="R17" s="5">
        <v>0</v>
      </c>
      <c r="S17" s="5">
        <v>0</v>
      </c>
      <c r="T17" s="5">
        <v>0</v>
      </c>
    </row>
    <row r="18" spans="1:20" x14ac:dyDescent="0.2">
      <c r="A18" s="1" t="s">
        <v>144</v>
      </c>
      <c r="B18" s="5">
        <v>0</v>
      </c>
      <c r="C18" s="5">
        <v>0</v>
      </c>
      <c r="D18" s="5">
        <v>0</v>
      </c>
      <c r="E18" s="25">
        <v>0</v>
      </c>
      <c r="F18" s="5">
        <v>0</v>
      </c>
      <c r="G18" s="5">
        <v>0</v>
      </c>
      <c r="H18" s="5">
        <v>0</v>
      </c>
      <c r="I18" s="25">
        <v>0</v>
      </c>
      <c r="J18" s="5">
        <v>19000</v>
      </c>
      <c r="K18" s="5">
        <v>19344</v>
      </c>
      <c r="L18" s="5">
        <v>19241</v>
      </c>
      <c r="M18" s="25">
        <v>17828</v>
      </c>
      <c r="N18" s="5">
        <v>17634</v>
      </c>
      <c r="O18" s="5">
        <v>17439</v>
      </c>
      <c r="P18" s="5">
        <v>17244</v>
      </c>
      <c r="Q18" s="25">
        <v>17049</v>
      </c>
      <c r="R18" s="5">
        <v>16854</v>
      </c>
      <c r="S18" s="5">
        <v>16660</v>
      </c>
      <c r="T18" s="5">
        <v>16465</v>
      </c>
    </row>
    <row r="19" spans="1:20" x14ac:dyDescent="0.2">
      <c r="A19" s="1" t="s">
        <v>26</v>
      </c>
      <c r="B19" s="5">
        <v>8126</v>
      </c>
      <c r="C19" s="5">
        <v>9088</v>
      </c>
      <c r="D19" s="5">
        <v>8622</v>
      </c>
      <c r="E19" s="25">
        <v>7309</v>
      </c>
      <c r="F19" s="5">
        <v>7322</v>
      </c>
      <c r="G19" s="5">
        <v>7100</v>
      </c>
      <c r="H19" s="5">
        <v>8075</v>
      </c>
      <c r="I19" s="25">
        <v>8271</v>
      </c>
      <c r="J19" s="5">
        <v>12853</v>
      </c>
      <c r="K19" s="5">
        <v>20288</v>
      </c>
      <c r="L19" s="5">
        <v>23696</v>
      </c>
      <c r="M19" s="25">
        <v>21281</v>
      </c>
      <c r="N19" s="5">
        <v>31790</v>
      </c>
      <c r="O19" s="5">
        <v>33359</v>
      </c>
      <c r="P19" s="5">
        <v>35448</v>
      </c>
      <c r="Q19" s="25">
        <v>35290</v>
      </c>
      <c r="R19" s="5">
        <v>31896</v>
      </c>
      <c r="S19" s="5">
        <v>29928</v>
      </c>
      <c r="T19" s="5">
        <v>31236</v>
      </c>
    </row>
    <row r="20" spans="1:20" ht="13.5" thickBot="1" x14ac:dyDescent="0.25">
      <c r="A20" s="43" t="s">
        <v>27</v>
      </c>
      <c r="B20" s="12">
        <f t="shared" ref="B20:L20" si="5">SUM(B13:B19)</f>
        <v>1001355</v>
      </c>
      <c r="C20" s="12">
        <f t="shared" si="5"/>
        <v>914145</v>
      </c>
      <c r="D20" s="12">
        <f t="shared" si="5"/>
        <v>933125</v>
      </c>
      <c r="E20" s="30">
        <f t="shared" si="5"/>
        <v>927681</v>
      </c>
      <c r="F20" s="12">
        <f t="shared" si="5"/>
        <v>932671</v>
      </c>
      <c r="G20" s="12">
        <f t="shared" si="5"/>
        <v>946774</v>
      </c>
      <c r="H20" s="12">
        <f t="shared" si="5"/>
        <v>970993</v>
      </c>
      <c r="I20" s="30">
        <f t="shared" si="5"/>
        <v>953079</v>
      </c>
      <c r="J20" s="12">
        <f t="shared" si="5"/>
        <v>2372353</v>
      </c>
      <c r="K20" s="12">
        <f t="shared" si="5"/>
        <v>2397149</v>
      </c>
      <c r="L20" s="12">
        <f t="shared" si="5"/>
        <v>2413071</v>
      </c>
      <c r="M20" s="30">
        <f t="shared" ref="M20:N20" si="6">SUM(M13:M19)</f>
        <v>2325852</v>
      </c>
      <c r="N20" s="12">
        <f t="shared" si="6"/>
        <v>2273214</v>
      </c>
      <c r="O20" s="12">
        <f t="shared" ref="O20:P20" si="7">SUM(O13:O19)</f>
        <v>2258941</v>
      </c>
      <c r="P20" s="12">
        <f t="shared" si="7"/>
        <v>2257054</v>
      </c>
      <c r="Q20" s="30">
        <f t="shared" ref="Q20:R20" si="8">SUM(Q13:Q19)</f>
        <v>2235059</v>
      </c>
      <c r="R20" s="12">
        <f t="shared" si="8"/>
        <v>2212882</v>
      </c>
      <c r="S20" s="12">
        <f t="shared" ref="S20:T20" si="9">SUM(S13:S19)</f>
        <v>2205170</v>
      </c>
      <c r="T20" s="12">
        <f t="shared" si="9"/>
        <v>2297913</v>
      </c>
    </row>
    <row r="21" spans="1:20" ht="13.5" thickTop="1" x14ac:dyDescent="0.2">
      <c r="A21" s="43"/>
      <c r="B21" s="13"/>
      <c r="C21" s="13"/>
      <c r="D21" s="13"/>
      <c r="E21" s="31"/>
      <c r="F21" s="13"/>
      <c r="G21" s="13"/>
      <c r="H21" s="13"/>
      <c r="I21" s="31"/>
      <c r="J21" s="13"/>
      <c r="K21" s="13"/>
      <c r="L21" s="13"/>
      <c r="M21" s="31"/>
      <c r="N21" s="13"/>
      <c r="O21" s="13"/>
      <c r="P21" s="13"/>
      <c r="Q21" s="31"/>
      <c r="R21" s="13"/>
      <c r="S21" s="13"/>
      <c r="T21" s="13"/>
    </row>
    <row r="22" spans="1:20" x14ac:dyDescent="0.2">
      <c r="A22" s="39" t="s">
        <v>28</v>
      </c>
      <c r="B22" s="3"/>
      <c r="C22" s="3"/>
      <c r="D22" s="3"/>
      <c r="E22" s="24"/>
      <c r="F22" s="3"/>
      <c r="G22" s="3"/>
      <c r="H22" s="3"/>
      <c r="I22" s="24"/>
      <c r="J22" s="3"/>
      <c r="K22" s="3"/>
      <c r="L22" s="3"/>
      <c r="M22" s="24"/>
      <c r="N22" s="3"/>
      <c r="O22" s="3"/>
      <c r="P22" s="3"/>
      <c r="Q22" s="24"/>
      <c r="R22" s="3"/>
      <c r="S22" s="3"/>
      <c r="T22" s="3"/>
    </row>
    <row r="23" spans="1:20" x14ac:dyDescent="0.2">
      <c r="A23" s="1" t="s">
        <v>29</v>
      </c>
      <c r="B23" s="3"/>
      <c r="C23" s="3"/>
      <c r="D23" s="3"/>
      <c r="E23" s="24"/>
      <c r="F23" s="3"/>
      <c r="G23" s="3"/>
      <c r="H23" s="3"/>
      <c r="I23" s="24"/>
      <c r="J23" s="3"/>
      <c r="K23" s="3"/>
      <c r="L23" s="3"/>
      <c r="M23" s="24"/>
      <c r="N23" s="3"/>
      <c r="O23" s="3"/>
      <c r="P23" s="3"/>
      <c r="Q23" s="24"/>
      <c r="R23" s="3"/>
      <c r="S23" s="3"/>
      <c r="T23" s="3"/>
    </row>
    <row r="24" spans="1:20" ht="14.25" x14ac:dyDescent="0.2">
      <c r="A24" s="14" t="s">
        <v>190</v>
      </c>
      <c r="B24" s="35">
        <v>0</v>
      </c>
      <c r="C24" s="35">
        <v>0</v>
      </c>
      <c r="D24" s="35">
        <v>0</v>
      </c>
      <c r="E24" s="34">
        <v>0</v>
      </c>
      <c r="F24" s="35">
        <v>0</v>
      </c>
      <c r="G24" s="35">
        <v>0</v>
      </c>
      <c r="H24" s="35">
        <v>0</v>
      </c>
      <c r="I24" s="34">
        <v>0</v>
      </c>
      <c r="J24" s="35">
        <v>0</v>
      </c>
      <c r="K24" s="35">
        <v>0</v>
      </c>
      <c r="L24" s="35">
        <v>222000</v>
      </c>
      <c r="M24" s="34">
        <v>0</v>
      </c>
      <c r="N24" s="35">
        <v>0</v>
      </c>
      <c r="O24" s="35">
        <v>0</v>
      </c>
      <c r="P24" s="35">
        <v>0</v>
      </c>
      <c r="Q24" s="34">
        <v>0</v>
      </c>
      <c r="R24" s="35">
        <v>0</v>
      </c>
      <c r="S24" s="35">
        <v>0</v>
      </c>
      <c r="T24" s="35">
        <v>0</v>
      </c>
    </row>
    <row r="25" spans="1:20" x14ac:dyDescent="0.2">
      <c r="A25" s="14" t="s">
        <v>30</v>
      </c>
      <c r="B25" s="5">
        <v>44580</v>
      </c>
      <c r="C25" s="5">
        <v>48290</v>
      </c>
      <c r="D25" s="5">
        <v>52838</v>
      </c>
      <c r="E25" s="25">
        <v>43710</v>
      </c>
      <c r="F25" s="5">
        <v>44209</v>
      </c>
      <c r="G25" s="5">
        <v>53130</v>
      </c>
      <c r="H25" s="5">
        <v>60741</v>
      </c>
      <c r="I25" s="25">
        <v>55201</v>
      </c>
      <c r="J25" s="5">
        <v>75241</v>
      </c>
      <c r="K25" s="5">
        <v>71852</v>
      </c>
      <c r="L25" s="5">
        <v>80258</v>
      </c>
      <c r="M25" s="25">
        <v>60993</v>
      </c>
      <c r="N25" s="5">
        <v>72565</v>
      </c>
      <c r="O25" s="5">
        <v>78492</v>
      </c>
      <c r="P25" s="5">
        <v>78274</v>
      </c>
      <c r="Q25" s="25">
        <v>60577</v>
      </c>
      <c r="R25" s="5">
        <v>61395</v>
      </c>
      <c r="S25" s="5">
        <v>75937</v>
      </c>
      <c r="T25" s="5">
        <v>108425</v>
      </c>
    </row>
    <row r="26" spans="1:20" x14ac:dyDescent="0.2">
      <c r="A26" s="14" t="s">
        <v>31</v>
      </c>
      <c r="B26" s="5">
        <v>0</v>
      </c>
      <c r="C26" s="5">
        <v>5082</v>
      </c>
      <c r="D26" s="5">
        <v>5053</v>
      </c>
      <c r="E26" s="25">
        <v>11032</v>
      </c>
      <c r="F26" s="5">
        <v>25408</v>
      </c>
      <c r="G26" s="5">
        <v>20349</v>
      </c>
      <c r="H26" s="5">
        <v>20304</v>
      </c>
      <c r="I26" s="25">
        <v>14263</v>
      </c>
      <c r="J26" s="5">
        <v>0</v>
      </c>
      <c r="K26" s="5">
        <v>0</v>
      </c>
      <c r="L26" s="5">
        <v>0</v>
      </c>
      <c r="M26" s="25">
        <v>39973</v>
      </c>
      <c r="N26" s="5">
        <v>39981</v>
      </c>
      <c r="O26" s="5">
        <v>39988</v>
      </c>
      <c r="P26" s="5">
        <v>39995</v>
      </c>
      <c r="Q26" s="25">
        <v>45974</v>
      </c>
      <c r="R26" s="5">
        <v>45981</v>
      </c>
      <c r="S26" s="5">
        <v>45988</v>
      </c>
      <c r="T26" s="5">
        <v>45995</v>
      </c>
    </row>
    <row r="27" spans="1:20" x14ac:dyDescent="0.2">
      <c r="A27" s="41" t="s">
        <v>32</v>
      </c>
      <c r="B27" s="11">
        <v>5973</v>
      </c>
      <c r="C27" s="11">
        <v>5973</v>
      </c>
      <c r="D27" s="11">
        <v>5973</v>
      </c>
      <c r="E27" s="29">
        <v>5839</v>
      </c>
      <c r="F27" s="11">
        <v>5839</v>
      </c>
      <c r="G27" s="11">
        <v>5839</v>
      </c>
      <c r="H27" s="11">
        <v>5839</v>
      </c>
      <c r="I27" s="29">
        <v>5334</v>
      </c>
      <c r="J27" s="11">
        <v>6057</v>
      </c>
      <c r="K27" s="11">
        <v>6088</v>
      </c>
      <c r="L27" s="11">
        <v>6088</v>
      </c>
      <c r="M27" s="29">
        <v>5997</v>
      </c>
      <c r="N27" s="11">
        <v>5997</v>
      </c>
      <c r="O27" s="11">
        <v>5997</v>
      </c>
      <c r="P27" s="11">
        <v>5997</v>
      </c>
      <c r="Q27" s="29">
        <v>6701</v>
      </c>
      <c r="R27" s="11">
        <v>6701</v>
      </c>
      <c r="S27" s="11">
        <v>6701</v>
      </c>
      <c r="T27" s="11">
        <v>6701</v>
      </c>
    </row>
    <row r="28" spans="1:20" x14ac:dyDescent="0.2">
      <c r="A28" s="41" t="s">
        <v>119</v>
      </c>
      <c r="B28" s="6">
        <v>0</v>
      </c>
      <c r="C28" s="6">
        <v>0</v>
      </c>
      <c r="D28" s="6">
        <v>0</v>
      </c>
      <c r="E28" s="26">
        <v>0</v>
      </c>
      <c r="F28" s="6">
        <v>0</v>
      </c>
      <c r="G28" s="6">
        <v>0</v>
      </c>
      <c r="H28" s="6">
        <v>0</v>
      </c>
      <c r="I28" s="26">
        <v>0</v>
      </c>
      <c r="J28" s="6">
        <v>0</v>
      </c>
      <c r="K28" s="6">
        <v>0</v>
      </c>
      <c r="L28" s="6">
        <v>0</v>
      </c>
      <c r="M28" s="26">
        <v>29321</v>
      </c>
      <c r="N28" s="6">
        <v>0</v>
      </c>
      <c r="O28" s="6">
        <v>0</v>
      </c>
      <c r="P28" s="6">
        <v>0</v>
      </c>
      <c r="Q28" s="26">
        <v>0</v>
      </c>
      <c r="R28" s="6">
        <v>0</v>
      </c>
      <c r="S28" s="6">
        <v>0</v>
      </c>
      <c r="T28" s="6">
        <v>0</v>
      </c>
    </row>
    <row r="29" spans="1:20" x14ac:dyDescent="0.2">
      <c r="A29" s="42" t="s">
        <v>33</v>
      </c>
      <c r="B29" s="10">
        <f>SUM(B24:B28)</f>
        <v>50553</v>
      </c>
      <c r="C29" s="10">
        <f t="shared" ref="C29:L29" si="10">SUM(C24:C28)</f>
        <v>59345</v>
      </c>
      <c r="D29" s="10">
        <f t="shared" si="10"/>
        <v>63864</v>
      </c>
      <c r="E29" s="28">
        <f t="shared" si="10"/>
        <v>60581</v>
      </c>
      <c r="F29" s="10">
        <f t="shared" si="10"/>
        <v>75456</v>
      </c>
      <c r="G29" s="10">
        <f t="shared" si="10"/>
        <v>79318</v>
      </c>
      <c r="H29" s="10">
        <f t="shared" si="10"/>
        <v>86884</v>
      </c>
      <c r="I29" s="28">
        <f t="shared" si="10"/>
        <v>74798</v>
      </c>
      <c r="J29" s="10">
        <f t="shared" si="10"/>
        <v>81298</v>
      </c>
      <c r="K29" s="10">
        <f t="shared" si="10"/>
        <v>77940</v>
      </c>
      <c r="L29" s="10">
        <f t="shared" si="10"/>
        <v>308346</v>
      </c>
      <c r="M29" s="28">
        <f t="shared" ref="M29:N29" si="11">SUM(M24:M28)</f>
        <v>136284</v>
      </c>
      <c r="N29" s="10">
        <f t="shared" si="11"/>
        <v>118543</v>
      </c>
      <c r="O29" s="10">
        <f t="shared" ref="O29:P29" si="12">SUM(O24:O28)</f>
        <v>124477</v>
      </c>
      <c r="P29" s="10">
        <f t="shared" si="12"/>
        <v>124266</v>
      </c>
      <c r="Q29" s="28">
        <f t="shared" ref="Q29:R29" si="13">SUM(Q24:Q28)</f>
        <v>113252</v>
      </c>
      <c r="R29" s="10">
        <f t="shared" si="13"/>
        <v>114077</v>
      </c>
      <c r="S29" s="10">
        <f t="shared" ref="S29:T29" si="14">SUM(S24:S28)</f>
        <v>128626</v>
      </c>
      <c r="T29" s="10">
        <f t="shared" si="14"/>
        <v>161121</v>
      </c>
    </row>
    <row r="30" spans="1:20" x14ac:dyDescent="0.2">
      <c r="A30" s="1" t="s">
        <v>34</v>
      </c>
      <c r="B30" s="5">
        <v>627709</v>
      </c>
      <c r="C30" s="5">
        <v>581205</v>
      </c>
      <c r="D30" s="5">
        <v>580317</v>
      </c>
      <c r="E30" s="25">
        <v>572956</v>
      </c>
      <c r="F30" s="5">
        <v>558510</v>
      </c>
      <c r="G30" s="5">
        <v>558853</v>
      </c>
      <c r="H30" s="5">
        <v>559019</v>
      </c>
      <c r="I30" s="25">
        <v>559056</v>
      </c>
      <c r="J30" s="5">
        <v>782974</v>
      </c>
      <c r="K30" s="5">
        <v>783436</v>
      </c>
      <c r="L30" s="5">
        <v>783899</v>
      </c>
      <c r="M30" s="25">
        <v>715391</v>
      </c>
      <c r="N30" s="5">
        <v>715837</v>
      </c>
      <c r="O30" s="5">
        <v>716094</v>
      </c>
      <c r="P30" s="5">
        <v>716350</v>
      </c>
      <c r="Q30" s="25">
        <v>710495</v>
      </c>
      <c r="R30" s="5">
        <v>710748</v>
      </c>
      <c r="S30" s="5">
        <v>711001</v>
      </c>
      <c r="T30" s="5">
        <v>711254</v>
      </c>
    </row>
    <row r="31" spans="1:20" x14ac:dyDescent="0.2">
      <c r="A31" s="1" t="s">
        <v>35</v>
      </c>
      <c r="B31" s="5">
        <v>118999</v>
      </c>
      <c r="C31" s="5">
        <v>119590</v>
      </c>
      <c r="D31" s="5">
        <v>118679</v>
      </c>
      <c r="E31" s="25">
        <v>123284</v>
      </c>
      <c r="F31" s="5">
        <v>123939</v>
      </c>
      <c r="G31" s="5">
        <v>123745</v>
      </c>
      <c r="H31" s="5">
        <v>118505</v>
      </c>
      <c r="I31" s="25">
        <v>103524</v>
      </c>
      <c r="J31" s="5">
        <v>131959</v>
      </c>
      <c r="K31" s="5">
        <v>132677</v>
      </c>
      <c r="L31" s="5">
        <v>89035</v>
      </c>
      <c r="M31" s="25">
        <v>110659</v>
      </c>
      <c r="N31" s="5">
        <v>110476</v>
      </c>
      <c r="O31" s="5">
        <v>110525</v>
      </c>
      <c r="P31" s="5">
        <v>110548</v>
      </c>
      <c r="Q31" s="25">
        <v>115463</v>
      </c>
      <c r="R31" s="5">
        <v>141921</v>
      </c>
      <c r="S31" s="5">
        <v>142708</v>
      </c>
      <c r="T31" s="5">
        <v>139022</v>
      </c>
    </row>
    <row r="32" spans="1:20" x14ac:dyDescent="0.2">
      <c r="A32" s="1" t="s">
        <v>102</v>
      </c>
      <c r="B32" s="25">
        <v>0</v>
      </c>
      <c r="C32" s="25">
        <v>0</v>
      </c>
      <c r="D32" s="25">
        <v>0</v>
      </c>
      <c r="E32" s="25">
        <v>0</v>
      </c>
      <c r="F32" s="25">
        <v>0</v>
      </c>
      <c r="G32" s="25">
        <v>0</v>
      </c>
      <c r="H32" s="25">
        <v>0</v>
      </c>
      <c r="I32" s="25">
        <v>0</v>
      </c>
      <c r="J32" s="5">
        <v>22927</v>
      </c>
      <c r="K32" s="5">
        <v>27040</v>
      </c>
      <c r="L32" s="5">
        <v>38575</v>
      </c>
      <c r="M32" s="25">
        <v>32009</v>
      </c>
      <c r="N32" s="5">
        <v>15956</v>
      </c>
      <c r="O32" s="5">
        <v>14623</v>
      </c>
      <c r="P32" s="5">
        <v>14913</v>
      </c>
      <c r="Q32" s="25">
        <v>20165</v>
      </c>
      <c r="R32" s="5">
        <v>11445</v>
      </c>
      <c r="S32" s="5">
        <v>10942</v>
      </c>
      <c r="T32" s="5">
        <v>12202</v>
      </c>
    </row>
    <row r="33" spans="1:20" x14ac:dyDescent="0.2">
      <c r="A33" s="1" t="s">
        <v>36</v>
      </c>
      <c r="B33" s="6">
        <v>13618</v>
      </c>
      <c r="C33" s="6">
        <v>13462</v>
      </c>
      <c r="D33" s="6">
        <v>14502</v>
      </c>
      <c r="E33" s="26">
        <v>14586</v>
      </c>
      <c r="F33" s="6">
        <v>15504</v>
      </c>
      <c r="G33" s="6">
        <v>14529</v>
      </c>
      <c r="H33" s="6">
        <v>15395</v>
      </c>
      <c r="I33" s="26">
        <v>15159</v>
      </c>
      <c r="J33" s="6">
        <v>17753</v>
      </c>
      <c r="K33" s="6">
        <v>15130</v>
      </c>
      <c r="L33" s="6">
        <v>14147</v>
      </c>
      <c r="M33" s="26">
        <v>16730</v>
      </c>
      <c r="N33" s="6">
        <v>34016</v>
      </c>
      <c r="O33" s="6">
        <v>47172</v>
      </c>
      <c r="P33" s="6">
        <v>55248</v>
      </c>
      <c r="Q33" s="26">
        <v>48853</v>
      </c>
      <c r="R33" s="6">
        <v>85077</v>
      </c>
      <c r="S33" s="6">
        <v>86417</v>
      </c>
      <c r="T33" s="6">
        <v>78237</v>
      </c>
    </row>
    <row r="34" spans="1:20" x14ac:dyDescent="0.2">
      <c r="A34" s="42" t="s">
        <v>37</v>
      </c>
      <c r="B34" s="8">
        <f t="shared" ref="B34:L34" si="15">SUM(B29:B33)</f>
        <v>810879</v>
      </c>
      <c r="C34" s="8">
        <f t="shared" si="15"/>
        <v>773602</v>
      </c>
      <c r="D34" s="8">
        <f t="shared" si="15"/>
        <v>777362</v>
      </c>
      <c r="E34" s="27">
        <f t="shared" si="15"/>
        <v>771407</v>
      </c>
      <c r="F34" s="8">
        <f t="shared" si="15"/>
        <v>773409</v>
      </c>
      <c r="G34" s="8">
        <f t="shared" si="15"/>
        <v>776445</v>
      </c>
      <c r="H34" s="8">
        <f t="shared" si="15"/>
        <v>779803</v>
      </c>
      <c r="I34" s="27">
        <f t="shared" si="15"/>
        <v>752537</v>
      </c>
      <c r="J34" s="8">
        <f t="shared" si="15"/>
        <v>1036911</v>
      </c>
      <c r="K34" s="8">
        <f t="shared" si="15"/>
        <v>1036223</v>
      </c>
      <c r="L34" s="8">
        <f t="shared" si="15"/>
        <v>1234002</v>
      </c>
      <c r="M34" s="27">
        <f t="shared" ref="M34:N34" si="16">SUM(M29:M33)</f>
        <v>1011073</v>
      </c>
      <c r="N34" s="8">
        <f t="shared" si="16"/>
        <v>994828</v>
      </c>
      <c r="O34" s="8">
        <f t="shared" ref="O34:P34" si="17">SUM(O29:O33)</f>
        <v>1012891</v>
      </c>
      <c r="P34" s="8">
        <f t="shared" si="17"/>
        <v>1021325</v>
      </c>
      <c r="Q34" s="27">
        <f t="shared" ref="Q34:R34" si="18">SUM(Q29:Q33)</f>
        <v>1008228</v>
      </c>
      <c r="R34" s="8">
        <f t="shared" si="18"/>
        <v>1063268</v>
      </c>
      <c r="S34" s="8">
        <f t="shared" ref="S34:T34" si="19">SUM(S29:S33)</f>
        <v>1079694</v>
      </c>
      <c r="T34" s="8">
        <f t="shared" si="19"/>
        <v>1101836</v>
      </c>
    </row>
    <row r="35" spans="1:20" x14ac:dyDescent="0.2">
      <c r="A35" s="1" t="s">
        <v>38</v>
      </c>
      <c r="B35" s="5"/>
      <c r="C35" s="5"/>
      <c r="D35" s="5"/>
      <c r="E35" s="5"/>
      <c r="F35" s="5"/>
      <c r="G35" s="5"/>
      <c r="H35" s="5"/>
      <c r="I35" s="5"/>
      <c r="J35" s="5"/>
      <c r="K35" s="5"/>
      <c r="L35" s="5"/>
      <c r="M35" s="5"/>
      <c r="N35" s="5"/>
      <c r="O35" s="5"/>
      <c r="P35" s="5"/>
      <c r="Q35" s="25"/>
      <c r="R35" s="5"/>
      <c r="S35" s="5"/>
      <c r="T35" s="5"/>
    </row>
    <row r="36" spans="1:20" x14ac:dyDescent="0.2">
      <c r="A36" s="1" t="s">
        <v>39</v>
      </c>
      <c r="B36" s="3"/>
      <c r="C36" s="3"/>
      <c r="D36" s="3"/>
      <c r="E36" s="24"/>
      <c r="F36" s="3"/>
      <c r="G36" s="3"/>
      <c r="H36" s="3"/>
      <c r="I36" s="24"/>
      <c r="J36" s="3"/>
      <c r="K36" s="3"/>
      <c r="L36" s="3"/>
      <c r="M36" s="24"/>
      <c r="N36" s="3"/>
      <c r="O36" s="3"/>
      <c r="P36" s="3"/>
      <c r="Q36" s="24"/>
      <c r="R36" s="3"/>
      <c r="S36" s="3"/>
      <c r="T36" s="3"/>
    </row>
    <row r="37" spans="1:20" x14ac:dyDescent="0.2">
      <c r="A37" s="41" t="s">
        <v>100</v>
      </c>
      <c r="B37" s="5">
        <v>40688</v>
      </c>
      <c r="C37" s="5">
        <v>40519</v>
      </c>
      <c r="D37" s="5">
        <v>40519</v>
      </c>
      <c r="E37" s="25">
        <v>40519</v>
      </c>
      <c r="F37" s="5">
        <v>40608</v>
      </c>
      <c r="G37" s="5">
        <v>40610</v>
      </c>
      <c r="H37" s="5">
        <v>40611</v>
      </c>
      <c r="I37" s="25">
        <v>40612</v>
      </c>
      <c r="J37" s="5">
        <v>62755</v>
      </c>
      <c r="K37" s="5">
        <v>62754</v>
      </c>
      <c r="L37" s="5">
        <v>62755</v>
      </c>
      <c r="M37" s="25">
        <v>67570</v>
      </c>
      <c r="N37" s="5">
        <v>67588</v>
      </c>
      <c r="O37" s="5">
        <v>67186</v>
      </c>
      <c r="P37" s="5">
        <v>67221</v>
      </c>
      <c r="Q37" s="25">
        <v>67221</v>
      </c>
      <c r="R37" s="5">
        <v>66951</v>
      </c>
      <c r="S37" s="5">
        <v>66871</v>
      </c>
      <c r="T37" s="5">
        <v>66872</v>
      </c>
    </row>
    <row r="38" spans="1:20" x14ac:dyDescent="0.2">
      <c r="A38" s="14" t="s">
        <v>40</v>
      </c>
      <c r="B38" s="5">
        <v>351188</v>
      </c>
      <c r="C38" s="5">
        <v>352497</v>
      </c>
      <c r="D38" s="5">
        <v>353702</v>
      </c>
      <c r="E38" s="25">
        <v>355274</v>
      </c>
      <c r="F38" s="5">
        <v>355174</v>
      </c>
      <c r="G38" s="5">
        <v>356453</v>
      </c>
      <c r="H38" s="5">
        <v>357736</v>
      </c>
      <c r="I38" s="25">
        <v>359144</v>
      </c>
      <c r="J38" s="5">
        <v>1480402</v>
      </c>
      <c r="K38" s="5">
        <v>1482048</v>
      </c>
      <c r="L38" s="5">
        <v>1483750</v>
      </c>
      <c r="M38" s="25">
        <v>1659031</v>
      </c>
      <c r="N38" s="5">
        <v>1660450</v>
      </c>
      <c r="O38" s="5">
        <v>1662381</v>
      </c>
      <c r="P38" s="5">
        <v>1664333</v>
      </c>
      <c r="Q38" s="25">
        <v>1666299</v>
      </c>
      <c r="R38" s="5">
        <v>1668122</v>
      </c>
      <c r="S38" s="5">
        <v>1670184</v>
      </c>
      <c r="T38" s="5">
        <v>1672351</v>
      </c>
    </row>
    <row r="39" spans="1:20" ht="14.25" x14ac:dyDescent="0.2">
      <c r="A39" s="14" t="s">
        <v>128</v>
      </c>
      <c r="B39" s="5">
        <v>-88108</v>
      </c>
      <c r="C39" s="5">
        <v>-140351</v>
      </c>
      <c r="D39" s="5">
        <v>-127926</v>
      </c>
      <c r="E39" s="25">
        <v>-128775</v>
      </c>
      <c r="F39" s="5">
        <v>-127109</v>
      </c>
      <c r="G39" s="5">
        <v>-118120</v>
      </c>
      <c r="H39" s="5">
        <v>-99677</v>
      </c>
      <c r="I39" s="25">
        <v>-104363</v>
      </c>
      <c r="J39" s="5">
        <v>-90334</v>
      </c>
      <c r="K39" s="5">
        <v>-69426</v>
      </c>
      <c r="L39" s="5">
        <v>-256280</v>
      </c>
      <c r="M39" s="25">
        <v>-282391</v>
      </c>
      <c r="N39" s="5">
        <v>-312874</v>
      </c>
      <c r="O39" s="5">
        <v>-337330</v>
      </c>
      <c r="P39" s="5">
        <v>-343747</v>
      </c>
      <c r="Q39" s="25">
        <v>-359330</v>
      </c>
      <c r="R39" s="5">
        <v>-415153</v>
      </c>
      <c r="S39" s="5">
        <v>-442153</v>
      </c>
      <c r="T39" s="5">
        <v>-388000</v>
      </c>
    </row>
    <row r="40" spans="1:20" x14ac:dyDescent="0.2">
      <c r="A40" s="14" t="s">
        <v>41</v>
      </c>
      <c r="B40" s="6">
        <v>-113292</v>
      </c>
      <c r="C40" s="6">
        <v>-112122</v>
      </c>
      <c r="D40" s="6">
        <v>-110532</v>
      </c>
      <c r="E40" s="26">
        <v>-110744</v>
      </c>
      <c r="F40" s="6">
        <v>-109411</v>
      </c>
      <c r="G40" s="6">
        <v>-108614</v>
      </c>
      <c r="H40" s="6">
        <v>-107480</v>
      </c>
      <c r="I40" s="26">
        <v>-94851</v>
      </c>
      <c r="J40" s="6">
        <v>-117381</v>
      </c>
      <c r="K40" s="6">
        <v>-114450</v>
      </c>
      <c r="L40" s="6">
        <v>-111156</v>
      </c>
      <c r="M40" s="26">
        <v>-129431</v>
      </c>
      <c r="N40" s="6">
        <v>-136778</v>
      </c>
      <c r="O40" s="6">
        <v>-146187</v>
      </c>
      <c r="P40" s="6">
        <v>-152078</v>
      </c>
      <c r="Q40" s="26">
        <v>-147359</v>
      </c>
      <c r="R40" s="6">
        <v>-170306</v>
      </c>
      <c r="S40" s="6">
        <v>-169426</v>
      </c>
      <c r="T40" s="6">
        <v>-155146</v>
      </c>
    </row>
    <row r="41" spans="1:20" x14ac:dyDescent="0.2">
      <c r="A41" s="42" t="s">
        <v>42</v>
      </c>
      <c r="B41" s="8">
        <f t="shared" ref="B41:L41" si="20">SUM(B37:B40)</f>
        <v>190476</v>
      </c>
      <c r="C41" s="8">
        <f t="shared" si="20"/>
        <v>140543</v>
      </c>
      <c r="D41" s="8">
        <f t="shared" si="20"/>
        <v>155763</v>
      </c>
      <c r="E41" s="27">
        <f t="shared" si="20"/>
        <v>156274</v>
      </c>
      <c r="F41" s="8">
        <f t="shared" si="20"/>
        <v>159262</v>
      </c>
      <c r="G41" s="8">
        <f t="shared" si="20"/>
        <v>170329</v>
      </c>
      <c r="H41" s="8">
        <f t="shared" si="20"/>
        <v>191190</v>
      </c>
      <c r="I41" s="27">
        <f t="shared" si="20"/>
        <v>200542</v>
      </c>
      <c r="J41" s="8">
        <f t="shared" si="20"/>
        <v>1335442</v>
      </c>
      <c r="K41" s="8">
        <f t="shared" si="20"/>
        <v>1360926</v>
      </c>
      <c r="L41" s="8">
        <f t="shared" si="20"/>
        <v>1179069</v>
      </c>
      <c r="M41" s="27">
        <f t="shared" ref="M41:N41" si="21">SUM(M37:M40)</f>
        <v>1314779</v>
      </c>
      <c r="N41" s="8">
        <f t="shared" si="21"/>
        <v>1278386</v>
      </c>
      <c r="O41" s="8">
        <f t="shared" ref="O41:P41" si="22">SUM(O37:O40)</f>
        <v>1246050</v>
      </c>
      <c r="P41" s="8">
        <f t="shared" si="22"/>
        <v>1235729</v>
      </c>
      <c r="Q41" s="27">
        <f t="shared" ref="Q41:R41" si="23">SUM(Q37:Q40)</f>
        <v>1226831</v>
      </c>
      <c r="R41" s="8">
        <f t="shared" si="23"/>
        <v>1149614</v>
      </c>
      <c r="S41" s="8">
        <f t="shared" ref="S41:T41" si="24">SUM(S37:S40)</f>
        <v>1125476</v>
      </c>
      <c r="T41" s="8">
        <f t="shared" si="24"/>
        <v>1196077</v>
      </c>
    </row>
    <row r="42" spans="1:20" ht="13.5" thickBot="1" x14ac:dyDescent="0.25">
      <c r="A42" s="43" t="s">
        <v>43</v>
      </c>
      <c r="B42" s="12">
        <f t="shared" ref="B42:L42" si="25">+B41+B34</f>
        <v>1001355</v>
      </c>
      <c r="C42" s="12">
        <f t="shared" si="25"/>
        <v>914145</v>
      </c>
      <c r="D42" s="12">
        <f t="shared" si="25"/>
        <v>933125</v>
      </c>
      <c r="E42" s="30">
        <f t="shared" si="25"/>
        <v>927681</v>
      </c>
      <c r="F42" s="12">
        <f t="shared" si="25"/>
        <v>932671</v>
      </c>
      <c r="G42" s="12">
        <f t="shared" si="25"/>
        <v>946774</v>
      </c>
      <c r="H42" s="12">
        <f t="shared" si="25"/>
        <v>970993</v>
      </c>
      <c r="I42" s="30">
        <f t="shared" si="25"/>
        <v>953079</v>
      </c>
      <c r="J42" s="12">
        <f t="shared" si="25"/>
        <v>2372353</v>
      </c>
      <c r="K42" s="12">
        <f t="shared" si="25"/>
        <v>2397149</v>
      </c>
      <c r="L42" s="12">
        <f t="shared" si="25"/>
        <v>2413071</v>
      </c>
      <c r="M42" s="30">
        <f t="shared" ref="M42:N42" si="26">+M41+M34</f>
        <v>2325852</v>
      </c>
      <c r="N42" s="12">
        <f t="shared" si="26"/>
        <v>2273214</v>
      </c>
      <c r="O42" s="12">
        <f t="shared" ref="O42:P42" si="27">+O41+O34</f>
        <v>2258941</v>
      </c>
      <c r="P42" s="12">
        <f t="shared" si="27"/>
        <v>2257054</v>
      </c>
      <c r="Q42" s="30">
        <f t="shared" ref="Q42:R42" si="28">+Q41+Q34</f>
        <v>2235059</v>
      </c>
      <c r="R42" s="12">
        <f t="shared" si="28"/>
        <v>2212882</v>
      </c>
      <c r="S42" s="12">
        <f t="shared" ref="S42:T42" si="29">+S41+S34</f>
        <v>2205170</v>
      </c>
      <c r="T42" s="12">
        <f t="shared" si="29"/>
        <v>2297913</v>
      </c>
    </row>
    <row r="43" spans="1:20" ht="28.9" customHeight="1" thickTop="1" x14ac:dyDescent="0.2">
      <c r="A43" s="105" t="s">
        <v>129</v>
      </c>
      <c r="B43" s="105"/>
      <c r="C43" s="105"/>
      <c r="D43" s="105"/>
      <c r="E43" s="105"/>
      <c r="F43" s="105"/>
      <c r="G43" s="105"/>
      <c r="H43" s="105"/>
      <c r="I43" s="105"/>
      <c r="J43" s="105"/>
      <c r="K43" s="105"/>
      <c r="L43" s="105"/>
      <c r="M43" s="31"/>
    </row>
    <row r="45" spans="1:20" x14ac:dyDescent="0.2">
      <c r="B45" s="47"/>
      <c r="C45" s="47"/>
      <c r="D45" s="47"/>
      <c r="E45" s="47"/>
      <c r="F45" s="47"/>
      <c r="G45" s="47"/>
      <c r="H45" s="47"/>
      <c r="I45" s="47"/>
      <c r="J45" s="47"/>
      <c r="K45" s="47"/>
      <c r="L45" s="47"/>
      <c r="M45" s="47"/>
      <c r="N45" s="47"/>
      <c r="O45" s="47"/>
      <c r="P45" s="47"/>
      <c r="Q45" s="102"/>
      <c r="R45" s="47"/>
      <c r="S45" s="47"/>
      <c r="T45" s="47"/>
    </row>
  </sheetData>
  <mergeCells count="1">
    <mergeCell ref="A43:L43"/>
  </mergeCells>
  <conditionalFormatting sqref="A7:H11 A28:H42 A13:H26 J13:L26 J28:L42 J7:L11 B35:M35 A43">
    <cfRule type="expression" dxfId="251" priority="68" stopIfTrue="1">
      <formula>MOD(ROW(),2)=0</formula>
    </cfRule>
  </conditionalFormatting>
  <conditionalFormatting sqref="J7:L11 J13:L25">
    <cfRule type="expression" dxfId="250" priority="67" stopIfTrue="1">
      <formula>MOD(ROW(),2)=0</formula>
    </cfRule>
  </conditionalFormatting>
  <conditionalFormatting sqref="E7:H11 E13:H25 J13:L25 J7:L11">
    <cfRule type="expression" dxfId="249" priority="66" stopIfTrue="1">
      <formula>MOD(ROW(),2)=0</formula>
    </cfRule>
  </conditionalFormatting>
  <conditionalFormatting sqref="A27:H27 J27:L27">
    <cfRule type="expression" dxfId="248" priority="63" stopIfTrue="1">
      <formula>MOD(ROW(),2)=0</formula>
    </cfRule>
  </conditionalFormatting>
  <conditionalFormatting sqref="A12:H12 J12:L12">
    <cfRule type="expression" dxfId="247" priority="62" stopIfTrue="1">
      <formula>MOD(ROW(),2)=0</formula>
    </cfRule>
  </conditionalFormatting>
  <conditionalFormatting sqref="J12:L12">
    <cfRule type="expression" dxfId="246" priority="61" stopIfTrue="1">
      <formula>MOD(ROW(),2)=0</formula>
    </cfRule>
  </conditionalFormatting>
  <conditionalFormatting sqref="E12:H12 J12:L12">
    <cfRule type="expression" dxfId="245" priority="60" stopIfTrue="1">
      <formula>MOD(ROW(),2)=0</formula>
    </cfRule>
  </conditionalFormatting>
  <conditionalFormatting sqref="I7:I11 I28:I42 I13:I26">
    <cfRule type="expression" dxfId="244" priority="59" stopIfTrue="1">
      <formula>MOD(ROW(),2)=0</formula>
    </cfRule>
  </conditionalFormatting>
  <conditionalFormatting sqref="I7:I11 I13:I25">
    <cfRule type="expression" dxfId="243" priority="58" stopIfTrue="1">
      <formula>MOD(ROW(),2)=0</formula>
    </cfRule>
  </conditionalFormatting>
  <conditionalFormatting sqref="I27">
    <cfRule type="expression" dxfId="242" priority="57" stopIfTrue="1">
      <formula>MOD(ROW(),2)=0</formula>
    </cfRule>
  </conditionalFormatting>
  <conditionalFormatting sqref="I12">
    <cfRule type="expression" dxfId="241" priority="56" stopIfTrue="1">
      <formula>MOD(ROW(),2)=0</formula>
    </cfRule>
  </conditionalFormatting>
  <conditionalFormatting sqref="I12">
    <cfRule type="expression" dxfId="240" priority="55" stopIfTrue="1">
      <formula>MOD(ROW(),2)=0</formula>
    </cfRule>
  </conditionalFormatting>
  <conditionalFormatting sqref="M7:M11 M28:M43 M13:M26">
    <cfRule type="expression" dxfId="239" priority="54" stopIfTrue="1">
      <formula>MOD(ROW(),2)=0</formula>
    </cfRule>
  </conditionalFormatting>
  <conditionalFormatting sqref="M7:M11 M13:M25">
    <cfRule type="expression" dxfId="238" priority="53" stopIfTrue="1">
      <formula>MOD(ROW(),2)=0</formula>
    </cfRule>
  </conditionalFormatting>
  <conditionalFormatting sqref="M27">
    <cfRule type="expression" dxfId="237" priority="52" stopIfTrue="1">
      <formula>MOD(ROW(),2)=0</formula>
    </cfRule>
  </conditionalFormatting>
  <conditionalFormatting sqref="M12">
    <cfRule type="expression" dxfId="236" priority="51" stopIfTrue="1">
      <formula>MOD(ROW(),2)=0</formula>
    </cfRule>
  </conditionalFormatting>
  <conditionalFormatting sqref="M12">
    <cfRule type="expression" dxfId="235" priority="50" stopIfTrue="1">
      <formula>MOD(ROW(),2)=0</formula>
    </cfRule>
  </conditionalFormatting>
  <conditionalFormatting sqref="N13:N26 N28:N42 N7:N11">
    <cfRule type="expression" dxfId="234" priority="49" stopIfTrue="1">
      <formula>MOD(ROW(),2)=0</formula>
    </cfRule>
  </conditionalFormatting>
  <conditionalFormatting sqref="N7:N11 N13:N25">
    <cfRule type="expression" dxfId="233" priority="48" stopIfTrue="1">
      <formula>MOD(ROW(),2)=0</formula>
    </cfRule>
  </conditionalFormatting>
  <conditionalFormatting sqref="N13:N25 N7:N11">
    <cfRule type="expression" dxfId="232" priority="47" stopIfTrue="1">
      <formula>MOD(ROW(),2)=0</formula>
    </cfRule>
  </conditionalFormatting>
  <conditionalFormatting sqref="N27">
    <cfRule type="expression" dxfId="231" priority="46" stopIfTrue="1">
      <formula>MOD(ROW(),2)=0</formula>
    </cfRule>
  </conditionalFormatting>
  <conditionalFormatting sqref="N12">
    <cfRule type="expression" dxfId="230" priority="45" stopIfTrue="1">
      <formula>MOD(ROW(),2)=0</formula>
    </cfRule>
  </conditionalFormatting>
  <conditionalFormatting sqref="N12">
    <cfRule type="expression" dxfId="229" priority="44" stopIfTrue="1">
      <formula>MOD(ROW(),2)=0</formula>
    </cfRule>
  </conditionalFormatting>
  <conditionalFormatting sqref="N12">
    <cfRule type="expression" dxfId="228" priority="43" stopIfTrue="1">
      <formula>MOD(ROW(),2)=0</formula>
    </cfRule>
  </conditionalFormatting>
  <conditionalFormatting sqref="O13:O26 O28:O42 O7:O11">
    <cfRule type="expression" dxfId="227" priority="42" stopIfTrue="1">
      <formula>MOD(ROW(),2)=0</formula>
    </cfRule>
  </conditionalFormatting>
  <conditionalFormatting sqref="O7:O11 O13:O25">
    <cfRule type="expression" dxfId="226" priority="41" stopIfTrue="1">
      <formula>MOD(ROW(),2)=0</formula>
    </cfRule>
  </conditionalFormatting>
  <conditionalFormatting sqref="O13:O25 O7:O11">
    <cfRule type="expression" dxfId="225" priority="40" stopIfTrue="1">
      <formula>MOD(ROW(),2)=0</formula>
    </cfRule>
  </conditionalFormatting>
  <conditionalFormatting sqref="O27">
    <cfRule type="expression" dxfId="224" priority="39" stopIfTrue="1">
      <formula>MOD(ROW(),2)=0</formula>
    </cfRule>
  </conditionalFormatting>
  <conditionalFormatting sqref="O12">
    <cfRule type="expression" dxfId="223" priority="38" stopIfTrue="1">
      <formula>MOD(ROW(),2)=0</formula>
    </cfRule>
  </conditionalFormatting>
  <conditionalFormatting sqref="O12">
    <cfRule type="expression" dxfId="222" priority="37" stopIfTrue="1">
      <formula>MOD(ROW(),2)=0</formula>
    </cfRule>
  </conditionalFormatting>
  <conditionalFormatting sqref="O12">
    <cfRule type="expression" dxfId="221" priority="36" stopIfTrue="1">
      <formula>MOD(ROW(),2)=0</formula>
    </cfRule>
  </conditionalFormatting>
  <conditionalFormatting sqref="P13:P26 P28:P42 P7:P11">
    <cfRule type="expression" dxfId="220" priority="35" stopIfTrue="1">
      <formula>MOD(ROW(),2)=0</formula>
    </cfRule>
  </conditionalFormatting>
  <conditionalFormatting sqref="P7:P11 P13:P25">
    <cfRule type="expression" dxfId="219" priority="34" stopIfTrue="1">
      <formula>MOD(ROW(),2)=0</formula>
    </cfRule>
  </conditionalFormatting>
  <conditionalFormatting sqref="P13:P25 P7:P11">
    <cfRule type="expression" dxfId="218" priority="33" stopIfTrue="1">
      <formula>MOD(ROW(),2)=0</formula>
    </cfRule>
  </conditionalFormatting>
  <conditionalFormatting sqref="P27">
    <cfRule type="expression" dxfId="217" priority="32" stopIfTrue="1">
      <formula>MOD(ROW(),2)=0</formula>
    </cfRule>
  </conditionalFormatting>
  <conditionalFormatting sqref="P12">
    <cfRule type="expression" dxfId="216" priority="31" stopIfTrue="1">
      <formula>MOD(ROW(),2)=0</formula>
    </cfRule>
  </conditionalFormatting>
  <conditionalFormatting sqref="P12">
    <cfRule type="expression" dxfId="215" priority="30" stopIfTrue="1">
      <formula>MOD(ROW(),2)=0</formula>
    </cfRule>
  </conditionalFormatting>
  <conditionalFormatting sqref="P12">
    <cfRule type="expression" dxfId="214" priority="29" stopIfTrue="1">
      <formula>MOD(ROW(),2)=0</formula>
    </cfRule>
  </conditionalFormatting>
  <conditionalFormatting sqref="Q13:Q26 Q28:Q42 Q7:Q11">
    <cfRule type="expression" dxfId="213" priority="28" stopIfTrue="1">
      <formula>MOD(ROW(),2)=0</formula>
    </cfRule>
  </conditionalFormatting>
  <conditionalFormatting sqref="Q7:Q11 Q13:Q25">
    <cfRule type="expression" dxfId="212" priority="27" stopIfTrue="1">
      <formula>MOD(ROW(),2)=0</formula>
    </cfRule>
  </conditionalFormatting>
  <conditionalFormatting sqref="Q13:Q25 Q7:Q11">
    <cfRule type="expression" dxfId="211" priority="26" stopIfTrue="1">
      <formula>MOD(ROW(),2)=0</formula>
    </cfRule>
  </conditionalFormatting>
  <conditionalFormatting sqref="Q27">
    <cfRule type="expression" dxfId="210" priority="25" stopIfTrue="1">
      <formula>MOD(ROW(),2)=0</formula>
    </cfRule>
  </conditionalFormatting>
  <conditionalFormatting sqref="Q12">
    <cfRule type="expression" dxfId="209" priority="24" stopIfTrue="1">
      <formula>MOD(ROW(),2)=0</formula>
    </cfRule>
  </conditionalFormatting>
  <conditionalFormatting sqref="Q12">
    <cfRule type="expression" dxfId="208" priority="23" stopIfTrue="1">
      <formula>MOD(ROW(),2)=0</formula>
    </cfRule>
  </conditionalFormatting>
  <conditionalFormatting sqref="Q12">
    <cfRule type="expression" dxfId="207" priority="22" stopIfTrue="1">
      <formula>MOD(ROW(),2)=0</formula>
    </cfRule>
  </conditionalFormatting>
  <conditionalFormatting sqref="R13:R26 R28:R42 R7:R11">
    <cfRule type="expression" dxfId="206" priority="21" stopIfTrue="1">
      <formula>MOD(ROW(),2)=0</formula>
    </cfRule>
  </conditionalFormatting>
  <conditionalFormatting sqref="R7:R11 R13:R25">
    <cfRule type="expression" dxfId="205" priority="20" stopIfTrue="1">
      <formula>MOD(ROW(),2)=0</formula>
    </cfRule>
  </conditionalFormatting>
  <conditionalFormatting sqref="R13:R25 R7:R11">
    <cfRule type="expression" dxfId="204" priority="19" stopIfTrue="1">
      <formula>MOD(ROW(),2)=0</formula>
    </cfRule>
  </conditionalFormatting>
  <conditionalFormatting sqref="R27">
    <cfRule type="expression" dxfId="203" priority="18" stopIfTrue="1">
      <formula>MOD(ROW(),2)=0</formula>
    </cfRule>
  </conditionalFormatting>
  <conditionalFormatting sqref="R12">
    <cfRule type="expression" dxfId="202" priority="17" stopIfTrue="1">
      <formula>MOD(ROW(),2)=0</formula>
    </cfRule>
  </conditionalFormatting>
  <conditionalFormatting sqref="R12">
    <cfRule type="expression" dxfId="201" priority="16" stopIfTrue="1">
      <formula>MOD(ROW(),2)=0</formula>
    </cfRule>
  </conditionalFormatting>
  <conditionalFormatting sqref="R12">
    <cfRule type="expression" dxfId="200" priority="15" stopIfTrue="1">
      <formula>MOD(ROW(),2)=0</formula>
    </cfRule>
  </conditionalFormatting>
  <conditionalFormatting sqref="S13:S26 S28:S42 S7:S11">
    <cfRule type="expression" dxfId="199" priority="14" stopIfTrue="1">
      <formula>MOD(ROW(),2)=0</formula>
    </cfRule>
  </conditionalFormatting>
  <conditionalFormatting sqref="S7:S11 S13:S25">
    <cfRule type="expression" dxfId="198" priority="13" stopIfTrue="1">
      <formula>MOD(ROW(),2)=0</formula>
    </cfRule>
  </conditionalFormatting>
  <conditionalFormatting sqref="S13:S25 S7:S11">
    <cfRule type="expression" dxfId="197" priority="12" stopIfTrue="1">
      <formula>MOD(ROW(),2)=0</formula>
    </cfRule>
  </conditionalFormatting>
  <conditionalFormatting sqref="S27">
    <cfRule type="expression" dxfId="196" priority="11" stopIfTrue="1">
      <formula>MOD(ROW(),2)=0</formula>
    </cfRule>
  </conditionalFormatting>
  <conditionalFormatting sqref="S12">
    <cfRule type="expression" dxfId="195" priority="10" stopIfTrue="1">
      <formula>MOD(ROW(),2)=0</formula>
    </cfRule>
  </conditionalFormatting>
  <conditionalFormatting sqref="S12">
    <cfRule type="expression" dxfId="194" priority="9" stopIfTrue="1">
      <formula>MOD(ROW(),2)=0</formula>
    </cfRule>
  </conditionalFormatting>
  <conditionalFormatting sqref="S12">
    <cfRule type="expression" dxfId="193" priority="8" stopIfTrue="1">
      <formula>MOD(ROW(),2)=0</formula>
    </cfRule>
  </conditionalFormatting>
  <conditionalFormatting sqref="T13:T26 T28:T42 T7:T11">
    <cfRule type="expression" dxfId="192" priority="7" stopIfTrue="1">
      <formula>MOD(ROW(),2)=0</formula>
    </cfRule>
  </conditionalFormatting>
  <conditionalFormatting sqref="T7:T11 T13:T25">
    <cfRule type="expression" dxfId="191" priority="6" stopIfTrue="1">
      <formula>MOD(ROW(),2)=0</formula>
    </cfRule>
  </conditionalFormatting>
  <conditionalFormatting sqref="T13:T25 T7:T11">
    <cfRule type="expression" dxfId="190" priority="5" stopIfTrue="1">
      <formula>MOD(ROW(),2)=0</formula>
    </cfRule>
  </conditionalFormatting>
  <conditionalFormatting sqref="T27">
    <cfRule type="expression" dxfId="189" priority="4" stopIfTrue="1">
      <formula>MOD(ROW(),2)=0</formula>
    </cfRule>
  </conditionalFormatting>
  <conditionalFormatting sqref="T12">
    <cfRule type="expression" dxfId="188" priority="3" stopIfTrue="1">
      <formula>MOD(ROW(),2)=0</formula>
    </cfRule>
  </conditionalFormatting>
  <conditionalFormatting sqref="T12">
    <cfRule type="expression" dxfId="187" priority="2" stopIfTrue="1">
      <formula>MOD(ROW(),2)=0</formula>
    </cfRule>
  </conditionalFormatting>
  <conditionalFormatting sqref="T12">
    <cfRule type="expression" dxfId="186" priority="1" stopIfTrue="1">
      <formula>MOD(ROW(),2)=0</formula>
    </cfRule>
  </conditionalFormatting>
  <pageMargins left="0.7" right="0.7" top="0.75" bottom="0.75" header="0.3" footer="0.3"/>
  <pageSetup paperSize="3" scale="83" orientation="landscape" horizont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AB522-1A34-419D-A127-3FAA7D51EDF3}">
  <sheetPr>
    <tabColor theme="9" tint="0.59999389629810485"/>
    <pageSetUpPr fitToPage="1"/>
  </sheetPr>
  <dimension ref="A1:Y67"/>
  <sheetViews>
    <sheetView showGridLines="0" zoomScaleNormal="100" workbookViewId="0">
      <pane xSplit="1" ySplit="5" topLeftCell="B39" activePane="bottomRight" state="frozen"/>
      <selection pane="topRight"/>
      <selection pane="bottomLeft"/>
      <selection pane="bottomRight" activeCell="A74" sqref="A74"/>
    </sheetView>
  </sheetViews>
  <sheetFormatPr defaultColWidth="9.28515625" defaultRowHeight="12.75" x14ac:dyDescent="0.2"/>
  <cols>
    <col min="1" max="1" width="59.140625" style="2" customWidth="1"/>
    <col min="2" max="25" width="13.7109375" style="2" customWidth="1"/>
    <col min="26" max="16384" width="9.28515625" style="2"/>
  </cols>
  <sheetData>
    <row r="1" spans="1:25" x14ac:dyDescent="0.2">
      <c r="A1" s="36" t="s">
        <v>78</v>
      </c>
      <c r="K1" s="2" t="s">
        <v>105</v>
      </c>
    </row>
    <row r="2" spans="1:25" x14ac:dyDescent="0.2">
      <c r="A2" s="36" t="s">
        <v>136</v>
      </c>
    </row>
    <row r="3" spans="1:25" x14ac:dyDescent="0.2">
      <c r="A3" s="38" t="s">
        <v>152</v>
      </c>
    </row>
    <row r="4" spans="1:25" x14ac:dyDescent="0.2">
      <c r="A4" s="2" t="s">
        <v>150</v>
      </c>
      <c r="B4" s="48"/>
      <c r="C4" s="48"/>
      <c r="D4" s="48"/>
      <c r="E4" s="48"/>
      <c r="F4" s="48"/>
      <c r="G4" s="48"/>
      <c r="H4" s="48"/>
      <c r="I4" s="48"/>
      <c r="J4" s="48"/>
      <c r="K4" s="48"/>
      <c r="L4" s="48"/>
      <c r="M4" s="48"/>
      <c r="N4" s="48"/>
      <c r="O4" s="48"/>
      <c r="P4" s="48"/>
      <c r="Q4" s="48"/>
      <c r="R4" s="48"/>
      <c r="S4" s="48"/>
      <c r="T4" s="48"/>
      <c r="U4" s="48"/>
      <c r="V4" s="48"/>
      <c r="W4" s="48"/>
      <c r="X4" s="48"/>
    </row>
    <row r="5" spans="1:25" s="19" customFormat="1" x14ac:dyDescent="0.2">
      <c r="B5" s="56" t="s">
        <v>66</v>
      </c>
      <c r="C5" s="56" t="s">
        <v>67</v>
      </c>
      <c r="D5" s="56" t="s">
        <v>68</v>
      </c>
      <c r="E5" s="56" t="s">
        <v>69</v>
      </c>
      <c r="F5" s="49">
        <v>2016</v>
      </c>
      <c r="G5" s="56" t="s">
        <v>77</v>
      </c>
      <c r="H5" s="56" t="s">
        <v>76</v>
      </c>
      <c r="I5" s="56" t="s">
        <v>75</v>
      </c>
      <c r="J5" s="56" t="s">
        <v>74</v>
      </c>
      <c r="K5" s="49">
        <v>2017</v>
      </c>
      <c r="L5" s="56" t="s">
        <v>73</v>
      </c>
      <c r="M5" s="56" t="s">
        <v>72</v>
      </c>
      <c r="N5" s="56" t="s">
        <v>71</v>
      </c>
      <c r="O5" s="56" t="s">
        <v>70</v>
      </c>
      <c r="P5" s="49">
        <v>2018</v>
      </c>
      <c r="Q5" s="56" t="s">
        <v>158</v>
      </c>
      <c r="R5" s="56" t="s">
        <v>176</v>
      </c>
      <c r="S5" s="56" t="s">
        <v>179</v>
      </c>
      <c r="T5" s="56" t="s">
        <v>180</v>
      </c>
      <c r="U5" s="49">
        <v>2019</v>
      </c>
      <c r="V5" s="56" t="s">
        <v>182</v>
      </c>
      <c r="W5" s="56" t="s">
        <v>188</v>
      </c>
      <c r="X5" s="56" t="s">
        <v>189</v>
      </c>
    </row>
    <row r="6" spans="1:25" x14ac:dyDescent="0.2">
      <c r="A6" s="39" t="s">
        <v>44</v>
      </c>
      <c r="B6" s="3"/>
      <c r="C6" s="3"/>
      <c r="D6" s="3"/>
      <c r="E6" s="3"/>
      <c r="F6" s="24"/>
      <c r="G6" s="3"/>
      <c r="H6" s="3"/>
      <c r="I6" s="3"/>
      <c r="J6" s="3"/>
      <c r="K6" s="24"/>
      <c r="L6" s="3"/>
      <c r="M6" s="3"/>
      <c r="N6" s="3"/>
      <c r="O6" s="3"/>
      <c r="P6" s="24"/>
      <c r="Q6" s="3"/>
      <c r="R6" s="3"/>
      <c r="S6" s="3"/>
      <c r="T6" s="3"/>
      <c r="U6" s="24"/>
      <c r="V6" s="3"/>
      <c r="W6" s="3"/>
      <c r="X6" s="3"/>
    </row>
    <row r="7" spans="1:25" x14ac:dyDescent="0.2">
      <c r="A7" s="14" t="s">
        <v>141</v>
      </c>
      <c r="B7" s="40">
        <f>'Income Statements'!B24</f>
        <v>157</v>
      </c>
      <c r="C7" s="40">
        <f>'Income Statements'!C24</f>
        <v>-31238</v>
      </c>
      <c r="D7" s="40">
        <f>'Income Statements'!D24</f>
        <v>27646</v>
      </c>
      <c r="E7" s="40">
        <f>'Income Statements'!E24</f>
        <v>14373</v>
      </c>
      <c r="F7" s="46">
        <f>SUM(B7:E7)</f>
        <v>10938</v>
      </c>
      <c r="G7" s="40">
        <f>'Income Statements'!G24</f>
        <v>16921</v>
      </c>
      <c r="H7" s="40">
        <f>'Income Statements'!H24</f>
        <v>24244</v>
      </c>
      <c r="I7" s="40">
        <f>'Income Statements'!I24</f>
        <v>33700</v>
      </c>
      <c r="J7" s="40">
        <f>'Income Statements'!J24</f>
        <v>11588</v>
      </c>
      <c r="K7" s="46">
        <f>SUM(G7:J7)</f>
        <v>86453</v>
      </c>
      <c r="L7" s="40">
        <f>'Income Statements'!L24</f>
        <v>14597</v>
      </c>
      <c r="M7" s="40">
        <f>'Income Statements'!M24</f>
        <v>46148</v>
      </c>
      <c r="N7" s="40">
        <f>'Income Statements'!N24</f>
        <v>60336</v>
      </c>
      <c r="O7" s="40">
        <f>122880-121081</f>
        <v>1799</v>
      </c>
      <c r="P7" s="46">
        <f>SUM(L7:O7)</f>
        <v>122880</v>
      </c>
      <c r="Q7" s="40">
        <f>'Income Statements'!Q24</f>
        <v>6560</v>
      </c>
      <c r="R7" s="40">
        <f>'Income Statements'!R24</f>
        <v>17137</v>
      </c>
      <c r="S7" s="40">
        <f>'Income Statements'!S24</f>
        <v>20565</v>
      </c>
      <c r="T7" s="40">
        <f>'Income Statements'!T24</f>
        <v>11399</v>
      </c>
      <c r="U7" s="46">
        <f>SUM(Q7:T7)</f>
        <v>55661</v>
      </c>
      <c r="V7" s="40">
        <f>'Income Statements'!V24</f>
        <v>-16832</v>
      </c>
      <c r="W7" s="40">
        <f>'Income Statements'!W24</f>
        <v>2638</v>
      </c>
      <c r="X7" s="40">
        <f>'Income Statements'!X24</f>
        <v>81007</v>
      </c>
      <c r="Y7" s="47"/>
    </row>
    <row r="8" spans="1:25" ht="25.5" x14ac:dyDescent="0.2">
      <c r="A8" s="41" t="s">
        <v>145</v>
      </c>
      <c r="B8" s="3"/>
      <c r="C8" s="3"/>
      <c r="D8" s="3"/>
      <c r="E8" s="3"/>
      <c r="F8" s="24"/>
      <c r="G8" s="3"/>
      <c r="H8" s="3"/>
      <c r="I8" s="3"/>
      <c r="J8" s="3"/>
      <c r="K8" s="24"/>
      <c r="L8" s="3"/>
      <c r="M8" s="3"/>
      <c r="N8" s="3"/>
      <c r="O8" s="3"/>
      <c r="P8" s="24"/>
      <c r="Q8" s="3"/>
      <c r="R8" s="3"/>
      <c r="S8" s="3"/>
      <c r="T8" s="3"/>
      <c r="U8" s="24"/>
      <c r="V8" s="3"/>
      <c r="W8" s="3"/>
      <c r="X8" s="3"/>
      <c r="Y8" s="47"/>
    </row>
    <row r="9" spans="1:25" x14ac:dyDescent="0.2">
      <c r="A9" s="42" t="s">
        <v>45</v>
      </c>
      <c r="B9" s="5">
        <v>8605</v>
      </c>
      <c r="C9" s="5">
        <v>7869</v>
      </c>
      <c r="D9" s="5">
        <v>9249</v>
      </c>
      <c r="E9" s="5">
        <f>34190-25723</f>
        <v>8467</v>
      </c>
      <c r="F9" s="25">
        <f t="shared" ref="F9:F21" si="0">SUM(B9:E9)</f>
        <v>34190</v>
      </c>
      <c r="G9" s="5">
        <v>6702</v>
      </c>
      <c r="H9" s="5">
        <v>6641</v>
      </c>
      <c r="I9" s="5">
        <v>8565</v>
      </c>
      <c r="J9" s="5">
        <v>8004</v>
      </c>
      <c r="K9" s="25">
        <f t="shared" ref="K9:K21" si="1">SUM(G9:J9)</f>
        <v>29912</v>
      </c>
      <c r="L9" s="5">
        <v>12635</v>
      </c>
      <c r="M9" s="5">
        <v>21605</v>
      </c>
      <c r="N9" s="5">
        <v>19445</v>
      </c>
      <c r="O9" s="5">
        <f>73161-53685</f>
        <v>19476</v>
      </c>
      <c r="P9" s="25">
        <f t="shared" ref="P9:P21" si="2">SUM(L9:O9)</f>
        <v>73161</v>
      </c>
      <c r="Q9" s="5">
        <v>16274</v>
      </c>
      <c r="R9" s="5">
        <v>17137</v>
      </c>
      <c r="S9" s="5">
        <v>19178</v>
      </c>
      <c r="T9" s="5">
        <v>19516</v>
      </c>
      <c r="U9" s="25">
        <f t="shared" ref="U9:U21" si="3">SUM(Q9:T9)</f>
        <v>72105</v>
      </c>
      <c r="V9" s="5">
        <v>19044</v>
      </c>
      <c r="W9" s="5">
        <v>18171</v>
      </c>
      <c r="X9" s="5">
        <v>20594</v>
      </c>
      <c r="Y9" s="47"/>
    </row>
    <row r="10" spans="1:25" x14ac:dyDescent="0.2">
      <c r="A10" s="42" t="s">
        <v>46</v>
      </c>
      <c r="B10" s="5">
        <v>2034</v>
      </c>
      <c r="C10" s="5">
        <v>3387</v>
      </c>
      <c r="D10" s="5">
        <v>1265</v>
      </c>
      <c r="E10" s="5">
        <f>8011-6686</f>
        <v>1325</v>
      </c>
      <c r="F10" s="25">
        <f t="shared" si="0"/>
        <v>8011</v>
      </c>
      <c r="G10" s="5">
        <v>4790</v>
      </c>
      <c r="H10" s="5">
        <v>982</v>
      </c>
      <c r="I10" s="5">
        <v>579</v>
      </c>
      <c r="J10" s="5">
        <v>476</v>
      </c>
      <c r="K10" s="25">
        <f t="shared" si="1"/>
        <v>6827</v>
      </c>
      <c r="L10" s="5">
        <v>3605</v>
      </c>
      <c r="M10" s="5">
        <v>2820</v>
      </c>
      <c r="N10" s="5">
        <v>4248</v>
      </c>
      <c r="O10" s="5">
        <f>16697-10673+1</f>
        <v>6025</v>
      </c>
      <c r="P10" s="25">
        <f t="shared" si="2"/>
        <v>16698</v>
      </c>
      <c r="Q10" s="5">
        <v>1556</v>
      </c>
      <c r="R10" s="5">
        <v>7427</v>
      </c>
      <c r="S10" s="5">
        <v>5228</v>
      </c>
      <c r="T10" s="5">
        <v>6343</v>
      </c>
      <c r="U10" s="25">
        <f t="shared" si="3"/>
        <v>20554</v>
      </c>
      <c r="V10" s="5">
        <v>6498</v>
      </c>
      <c r="W10" s="5">
        <v>2693</v>
      </c>
      <c r="X10" s="5">
        <v>5249</v>
      </c>
      <c r="Y10" s="47"/>
    </row>
    <row r="11" spans="1:25" x14ac:dyDescent="0.2">
      <c r="A11" s="42" t="s">
        <v>159</v>
      </c>
      <c r="B11" s="5">
        <v>0</v>
      </c>
      <c r="C11" s="5">
        <v>0</v>
      </c>
      <c r="D11" s="5">
        <v>0</v>
      </c>
      <c r="E11" s="5">
        <v>0</v>
      </c>
      <c r="F11" s="25">
        <f t="shared" ref="F11" si="4">SUM(B11:E11)</f>
        <v>0</v>
      </c>
      <c r="G11" s="5">
        <v>0</v>
      </c>
      <c r="H11" s="5">
        <v>0</v>
      </c>
      <c r="I11" s="5">
        <v>0</v>
      </c>
      <c r="J11" s="5">
        <v>0</v>
      </c>
      <c r="K11" s="25">
        <f t="shared" ref="K11" si="5">SUM(G11:J11)</f>
        <v>0</v>
      </c>
      <c r="L11" s="5">
        <v>0</v>
      </c>
      <c r="M11" s="5">
        <v>0</v>
      </c>
      <c r="N11" s="5">
        <v>0</v>
      </c>
      <c r="O11" s="5">
        <v>0</v>
      </c>
      <c r="P11" s="25">
        <f t="shared" ref="P11" si="6">SUM(L11:O11)</f>
        <v>0</v>
      </c>
      <c r="Q11" s="5">
        <v>-9176</v>
      </c>
      <c r="R11" s="5">
        <v>0</v>
      </c>
      <c r="S11" s="5">
        <v>0</v>
      </c>
      <c r="T11" s="5">
        <v>0</v>
      </c>
      <c r="U11" s="25">
        <f t="shared" si="3"/>
        <v>-9176</v>
      </c>
      <c r="V11" s="5">
        <v>0</v>
      </c>
      <c r="W11" s="5">
        <v>0</v>
      </c>
      <c r="X11" s="5">
        <v>0</v>
      </c>
      <c r="Y11" s="47"/>
    </row>
    <row r="12" spans="1:25" x14ac:dyDescent="0.2">
      <c r="A12" s="42" t="s">
        <v>161</v>
      </c>
      <c r="B12" s="5">
        <v>0</v>
      </c>
      <c r="C12" s="5">
        <v>0</v>
      </c>
      <c r="D12" s="5">
        <v>0</v>
      </c>
      <c r="E12" s="5">
        <v>0</v>
      </c>
      <c r="F12" s="25">
        <f t="shared" ref="F12" si="7">SUM(B12:E12)</f>
        <v>0</v>
      </c>
      <c r="G12" s="5">
        <v>0</v>
      </c>
      <c r="H12" s="5">
        <v>0</v>
      </c>
      <c r="I12" s="5">
        <v>0</v>
      </c>
      <c r="J12" s="5">
        <v>0</v>
      </c>
      <c r="K12" s="25">
        <f t="shared" ref="K12" si="8">SUM(G12:J12)</f>
        <v>0</v>
      </c>
      <c r="L12" s="5">
        <v>0</v>
      </c>
      <c r="M12" s="5">
        <v>0</v>
      </c>
      <c r="N12" s="5">
        <v>0</v>
      </c>
      <c r="O12" s="5">
        <v>0</v>
      </c>
      <c r="P12" s="25">
        <f t="shared" ref="P12" si="9">SUM(L12:O12)</f>
        <v>0</v>
      </c>
      <c r="Q12" s="5">
        <v>5512</v>
      </c>
      <c r="R12" s="5">
        <v>0</v>
      </c>
      <c r="S12" s="5">
        <v>0</v>
      </c>
      <c r="T12" s="5">
        <v>0</v>
      </c>
      <c r="U12" s="25">
        <f t="shared" si="3"/>
        <v>5512</v>
      </c>
      <c r="V12" s="5">
        <v>0</v>
      </c>
      <c r="W12" s="5">
        <v>0</v>
      </c>
      <c r="X12" s="5">
        <v>0</v>
      </c>
      <c r="Y12" s="47"/>
    </row>
    <row r="13" spans="1:25" x14ac:dyDescent="0.2">
      <c r="A13" s="42" t="s">
        <v>47</v>
      </c>
      <c r="B13" s="5">
        <v>-1110</v>
      </c>
      <c r="C13" s="5">
        <v>-5674</v>
      </c>
      <c r="D13" s="5">
        <v>8159</v>
      </c>
      <c r="E13" s="5">
        <f>1853-1375</f>
        <v>478</v>
      </c>
      <c r="F13" s="25">
        <f t="shared" si="0"/>
        <v>1853</v>
      </c>
      <c r="G13" s="5">
        <v>-351</v>
      </c>
      <c r="H13" s="5">
        <v>1595</v>
      </c>
      <c r="I13" s="5">
        <v>-2169</v>
      </c>
      <c r="J13" s="5">
        <v>16289</v>
      </c>
      <c r="K13" s="25">
        <f t="shared" si="1"/>
        <v>15364</v>
      </c>
      <c r="L13" s="5">
        <v>-1058</v>
      </c>
      <c r="M13" s="5">
        <v>3856</v>
      </c>
      <c r="N13" s="5">
        <v>11081</v>
      </c>
      <c r="O13" s="5">
        <f>12161-13879</f>
        <v>-1718</v>
      </c>
      <c r="P13" s="25">
        <f t="shared" si="2"/>
        <v>12161</v>
      </c>
      <c r="Q13" s="5">
        <v>-16099</v>
      </c>
      <c r="R13" s="5">
        <v>-1139</v>
      </c>
      <c r="S13" s="5">
        <v>295</v>
      </c>
      <c r="T13" s="5">
        <v>5898</v>
      </c>
      <c r="U13" s="25">
        <f t="shared" si="3"/>
        <v>-11045</v>
      </c>
      <c r="V13" s="5">
        <v>-12383</v>
      </c>
      <c r="W13" s="5">
        <v>-1466</v>
      </c>
      <c r="X13" s="5">
        <v>-538</v>
      </c>
      <c r="Y13" s="47"/>
    </row>
    <row r="14" spans="1:25" x14ac:dyDescent="0.2">
      <c r="A14" s="42" t="s">
        <v>35</v>
      </c>
      <c r="B14" s="5">
        <v>3609</v>
      </c>
      <c r="C14" s="5">
        <v>4222</v>
      </c>
      <c r="D14" s="5">
        <v>3915</v>
      </c>
      <c r="E14" s="5">
        <v>3915</v>
      </c>
      <c r="F14" s="25">
        <f t="shared" si="0"/>
        <v>15661</v>
      </c>
      <c r="G14" s="5">
        <v>3771</v>
      </c>
      <c r="H14" s="5">
        <v>2804</v>
      </c>
      <c r="I14" s="5">
        <v>3288</v>
      </c>
      <c r="J14" s="5">
        <v>3288</v>
      </c>
      <c r="K14" s="25">
        <f t="shared" si="1"/>
        <v>13151</v>
      </c>
      <c r="L14" s="5">
        <v>3814</v>
      </c>
      <c r="M14" s="5">
        <v>4185</v>
      </c>
      <c r="N14" s="5">
        <v>4222</v>
      </c>
      <c r="O14" s="5">
        <f>16443-12221</f>
        <v>4222</v>
      </c>
      <c r="P14" s="25">
        <f t="shared" si="2"/>
        <v>16443</v>
      </c>
      <c r="Q14" s="5">
        <v>3106</v>
      </c>
      <c r="R14" s="5">
        <v>2831</v>
      </c>
      <c r="S14" s="5">
        <v>2970</v>
      </c>
      <c r="T14" s="5">
        <v>2970</v>
      </c>
      <c r="U14" s="25">
        <f t="shared" si="3"/>
        <v>11877</v>
      </c>
      <c r="V14" s="5">
        <v>6068</v>
      </c>
      <c r="W14" s="5">
        <v>5765</v>
      </c>
      <c r="X14" s="5">
        <v>5917</v>
      </c>
      <c r="Y14" s="47"/>
    </row>
    <row r="15" spans="1:25" x14ac:dyDescent="0.2">
      <c r="A15" s="42" t="s">
        <v>183</v>
      </c>
      <c r="B15" s="5">
        <v>0</v>
      </c>
      <c r="C15" s="5">
        <v>0</v>
      </c>
      <c r="D15" s="5">
        <v>0</v>
      </c>
      <c r="E15" s="5">
        <v>0</v>
      </c>
      <c r="F15" s="25">
        <f t="shared" si="0"/>
        <v>0</v>
      </c>
      <c r="G15" s="5">
        <v>0</v>
      </c>
      <c r="H15" s="5">
        <v>0</v>
      </c>
      <c r="I15" s="5">
        <v>0</v>
      </c>
      <c r="J15" s="5">
        <v>0</v>
      </c>
      <c r="K15" s="25">
        <f t="shared" si="1"/>
        <v>0</v>
      </c>
      <c r="L15" s="5">
        <v>0</v>
      </c>
      <c r="M15" s="5">
        <v>0</v>
      </c>
      <c r="N15" s="5">
        <v>0</v>
      </c>
      <c r="O15" s="5">
        <v>0</v>
      </c>
      <c r="P15" s="25">
        <f t="shared" si="2"/>
        <v>0</v>
      </c>
      <c r="Q15" s="5">
        <v>0</v>
      </c>
      <c r="R15" s="5">
        <v>0</v>
      </c>
      <c r="S15" s="5">
        <v>0</v>
      </c>
      <c r="T15" s="5">
        <v>0</v>
      </c>
      <c r="U15" s="25">
        <f t="shared" si="3"/>
        <v>0</v>
      </c>
      <c r="V15" s="5">
        <v>42988</v>
      </c>
      <c r="W15" s="5">
        <v>0</v>
      </c>
      <c r="X15" s="5">
        <v>0</v>
      </c>
      <c r="Y15" s="47"/>
    </row>
    <row r="16" spans="1:25" x14ac:dyDescent="0.2">
      <c r="A16" s="42" t="s">
        <v>48</v>
      </c>
      <c r="B16" s="5">
        <v>954</v>
      </c>
      <c r="C16" s="5">
        <v>1222</v>
      </c>
      <c r="D16" s="5">
        <v>1114</v>
      </c>
      <c r="E16" s="5">
        <f>4390-3290</f>
        <v>1100</v>
      </c>
      <c r="F16" s="25">
        <f t="shared" si="0"/>
        <v>4390</v>
      </c>
      <c r="G16" s="5">
        <v>1157</v>
      </c>
      <c r="H16" s="5">
        <v>1191</v>
      </c>
      <c r="I16" s="5">
        <v>1188</v>
      </c>
      <c r="J16" s="5">
        <v>1186</v>
      </c>
      <c r="K16" s="25">
        <f t="shared" si="1"/>
        <v>4722</v>
      </c>
      <c r="L16" s="5">
        <v>3094</v>
      </c>
      <c r="M16" s="5">
        <v>1795</v>
      </c>
      <c r="N16" s="5">
        <v>1629</v>
      </c>
      <c r="O16" s="5">
        <f>8206-6518</f>
        <v>1688</v>
      </c>
      <c r="P16" s="25">
        <f t="shared" si="2"/>
        <v>8206</v>
      </c>
      <c r="Q16" s="5">
        <v>1617</v>
      </c>
      <c r="R16" s="5">
        <v>1832</v>
      </c>
      <c r="S16" s="5">
        <v>1913</v>
      </c>
      <c r="T16" s="5">
        <v>1910</v>
      </c>
      <c r="U16" s="25">
        <f t="shared" si="3"/>
        <v>7272</v>
      </c>
      <c r="V16" s="5">
        <v>1885</v>
      </c>
      <c r="W16" s="5">
        <v>1980</v>
      </c>
      <c r="X16" s="5">
        <v>2063</v>
      </c>
      <c r="Y16" s="47"/>
    </row>
    <row r="17" spans="1:25" x14ac:dyDescent="0.2">
      <c r="A17" s="42" t="s">
        <v>6</v>
      </c>
      <c r="B17" s="5">
        <v>0</v>
      </c>
      <c r="C17" s="5">
        <v>48522</v>
      </c>
      <c r="D17" s="5">
        <v>0</v>
      </c>
      <c r="E17" s="5">
        <v>0</v>
      </c>
      <c r="F17" s="25">
        <f t="shared" si="0"/>
        <v>48522</v>
      </c>
      <c r="G17" s="5">
        <v>0</v>
      </c>
      <c r="H17" s="5">
        <v>0</v>
      </c>
      <c r="I17" s="5">
        <v>0</v>
      </c>
      <c r="J17" s="5">
        <v>0</v>
      </c>
      <c r="K17" s="25">
        <f t="shared" si="1"/>
        <v>0</v>
      </c>
      <c r="L17" s="5">
        <v>0</v>
      </c>
      <c r="M17" s="5">
        <v>0</v>
      </c>
      <c r="N17" s="5">
        <v>0</v>
      </c>
      <c r="O17" s="5">
        <v>0</v>
      </c>
      <c r="P17" s="25">
        <f t="shared" si="2"/>
        <v>0</v>
      </c>
      <c r="Q17" s="5">
        <v>0</v>
      </c>
      <c r="R17" s="5">
        <v>0</v>
      </c>
      <c r="S17" s="5">
        <v>0</v>
      </c>
      <c r="T17" s="5">
        <v>0</v>
      </c>
      <c r="U17" s="25">
        <f t="shared" si="3"/>
        <v>0</v>
      </c>
      <c r="V17" s="5">
        <v>0</v>
      </c>
      <c r="W17" s="5">
        <v>0</v>
      </c>
      <c r="X17" s="5">
        <v>0</v>
      </c>
      <c r="Y17" s="47"/>
    </row>
    <row r="18" spans="1:25" x14ac:dyDescent="0.2">
      <c r="A18" s="42" t="s">
        <v>49</v>
      </c>
      <c r="B18" s="5">
        <v>-531</v>
      </c>
      <c r="C18" s="5">
        <v>-749</v>
      </c>
      <c r="D18" s="5">
        <v>139</v>
      </c>
      <c r="E18" s="5">
        <f>-1198+1141</f>
        <v>-57</v>
      </c>
      <c r="F18" s="25">
        <f t="shared" si="0"/>
        <v>-1198</v>
      </c>
      <c r="G18" s="5">
        <v>-1007</v>
      </c>
      <c r="H18" s="5">
        <v>24</v>
      </c>
      <c r="I18" s="5">
        <v>-484</v>
      </c>
      <c r="J18" s="5">
        <v>-405</v>
      </c>
      <c r="K18" s="25">
        <f t="shared" si="1"/>
        <v>-1872</v>
      </c>
      <c r="L18" s="5">
        <v>-542</v>
      </c>
      <c r="M18" s="5">
        <v>-129</v>
      </c>
      <c r="N18" s="5">
        <v>-549</v>
      </c>
      <c r="O18" s="5">
        <v>-1</v>
      </c>
      <c r="P18" s="25">
        <f t="shared" si="2"/>
        <v>-1221</v>
      </c>
      <c r="Q18" s="5">
        <v>-786</v>
      </c>
      <c r="R18" s="5">
        <v>-1142</v>
      </c>
      <c r="S18" s="5">
        <v>-764</v>
      </c>
      <c r="T18" s="5">
        <v>368</v>
      </c>
      <c r="U18" s="25">
        <f t="shared" si="3"/>
        <v>-2324</v>
      </c>
      <c r="V18" s="5">
        <v>237</v>
      </c>
      <c r="W18" s="5">
        <v>-414</v>
      </c>
      <c r="X18" s="5">
        <v>-367</v>
      </c>
      <c r="Y18" s="47"/>
    </row>
    <row r="19" spans="1:25" x14ac:dyDescent="0.2">
      <c r="A19" s="14" t="s">
        <v>103</v>
      </c>
      <c r="B19" s="5">
        <f>16047-872+1723</f>
        <v>16898</v>
      </c>
      <c r="C19" s="5">
        <f>5797-16047-543+1038</f>
        <v>-9755</v>
      </c>
      <c r="D19" s="5">
        <f>-5797-13318-2343+1097</f>
        <v>-20361</v>
      </c>
      <c r="E19" s="5">
        <f>-450-1424+1709</f>
        <v>-165</v>
      </c>
      <c r="F19" s="25">
        <f t="shared" si="0"/>
        <v>-13383</v>
      </c>
      <c r="G19" s="5">
        <f>9966+1009</f>
        <v>10975</v>
      </c>
      <c r="H19" s="5">
        <f>-47+1388</f>
        <v>1341</v>
      </c>
      <c r="I19" s="5">
        <f>10570+1395</f>
        <v>11965</v>
      </c>
      <c r="J19" s="5">
        <f>13377-20489+1571</f>
        <v>-5541</v>
      </c>
      <c r="K19" s="25">
        <f t="shared" si="1"/>
        <v>18740</v>
      </c>
      <c r="L19" s="5">
        <f>7475+1110</f>
        <v>8585</v>
      </c>
      <c r="M19" s="5">
        <f>-18782+1189</f>
        <v>-17593</v>
      </c>
      <c r="N19" s="5">
        <f>-1982+1562-1</f>
        <v>-421</v>
      </c>
      <c r="O19" s="5">
        <f>2822+273-3996-5212-6173+13289+1620</f>
        <v>2623</v>
      </c>
      <c r="P19" s="25">
        <f t="shared" si="2"/>
        <v>-6806</v>
      </c>
      <c r="Q19" s="5">
        <v>13983</v>
      </c>
      <c r="R19" s="5">
        <v>8507</v>
      </c>
      <c r="S19" s="5">
        <v>-8745</v>
      </c>
      <c r="T19" s="5">
        <v>-12181</v>
      </c>
      <c r="U19" s="25">
        <f t="shared" si="3"/>
        <v>1564</v>
      </c>
      <c r="V19" s="5">
        <v>2557</v>
      </c>
      <c r="W19" s="5">
        <v>13840</v>
      </c>
      <c r="X19" s="5">
        <v>-3691</v>
      </c>
      <c r="Y19" s="47"/>
    </row>
    <row r="20" spans="1:25" x14ac:dyDescent="0.2">
      <c r="A20" s="14" t="s">
        <v>104</v>
      </c>
      <c r="B20" s="5">
        <v>0</v>
      </c>
      <c r="C20" s="5">
        <v>0</v>
      </c>
      <c r="D20" s="5">
        <v>0</v>
      </c>
      <c r="E20" s="5">
        <v>0</v>
      </c>
      <c r="F20" s="25">
        <f t="shared" si="0"/>
        <v>0</v>
      </c>
      <c r="G20" s="5">
        <v>0</v>
      </c>
      <c r="H20" s="5">
        <v>0</v>
      </c>
      <c r="I20" s="5">
        <v>0</v>
      </c>
      <c r="J20" s="5">
        <v>0</v>
      </c>
      <c r="K20" s="25">
        <f t="shared" si="1"/>
        <v>0</v>
      </c>
      <c r="L20" s="5">
        <v>-608</v>
      </c>
      <c r="M20" s="5">
        <v>-1057</v>
      </c>
      <c r="N20" s="5">
        <v>-1416</v>
      </c>
      <c r="O20" s="5">
        <f>-5049+3081</f>
        <v>-1968</v>
      </c>
      <c r="P20" s="25">
        <f t="shared" si="2"/>
        <v>-5049</v>
      </c>
      <c r="Q20" s="5">
        <v>-1766</v>
      </c>
      <c r="R20" s="5">
        <v>-2715</v>
      </c>
      <c r="S20" s="5">
        <v>-1257</v>
      </c>
      <c r="T20" s="5">
        <v>-1516</v>
      </c>
      <c r="U20" s="25">
        <f t="shared" si="3"/>
        <v>-7254</v>
      </c>
      <c r="V20" s="5">
        <v>-378</v>
      </c>
      <c r="W20" s="5">
        <v>-2109</v>
      </c>
      <c r="X20" s="5">
        <v>-1713</v>
      </c>
      <c r="Y20" s="47"/>
    </row>
    <row r="21" spans="1:25" s="99" customFormat="1" x14ac:dyDescent="0.2">
      <c r="A21" s="14" t="s">
        <v>165</v>
      </c>
      <c r="B21" s="5">
        <v>-1723</v>
      </c>
      <c r="C21" s="5">
        <v>-1038</v>
      </c>
      <c r="D21" s="5">
        <f>-1300-1097</f>
        <v>-2397</v>
      </c>
      <c r="E21" s="5">
        <v>-1709</v>
      </c>
      <c r="F21" s="25">
        <f t="shared" si="0"/>
        <v>-6867</v>
      </c>
      <c r="G21" s="5">
        <v>-1009</v>
      </c>
      <c r="H21" s="5">
        <v>-1388</v>
      </c>
      <c r="I21" s="5">
        <f>-5275-1395</f>
        <v>-6670</v>
      </c>
      <c r="J21" s="5">
        <v>-1571</v>
      </c>
      <c r="K21" s="25">
        <f t="shared" si="1"/>
        <v>-10638</v>
      </c>
      <c r="L21" s="5">
        <f>-8098-1110</f>
        <v>-9208</v>
      </c>
      <c r="M21" s="5">
        <f>-2299+1110</f>
        <v>-1189</v>
      </c>
      <c r="N21" s="5">
        <f>-44001-1562+1</f>
        <v>-45562</v>
      </c>
      <c r="O21" s="5">
        <v>-1620</v>
      </c>
      <c r="P21" s="25">
        <f t="shared" si="2"/>
        <v>-57579</v>
      </c>
      <c r="Q21" s="5">
        <v>-1714</v>
      </c>
      <c r="R21" s="5">
        <v>-1421</v>
      </c>
      <c r="S21" s="5">
        <v>-1477</v>
      </c>
      <c r="T21" s="5">
        <v>-1066</v>
      </c>
      <c r="U21" s="25">
        <f t="shared" si="3"/>
        <v>-5678</v>
      </c>
      <c r="V21" s="5">
        <v>-1546</v>
      </c>
      <c r="W21" s="5">
        <v>-1293</v>
      </c>
      <c r="X21" s="5">
        <v>-5619</v>
      </c>
      <c r="Y21" s="47"/>
    </row>
    <row r="22" spans="1:25" x14ac:dyDescent="0.2">
      <c r="A22" s="1" t="s">
        <v>146</v>
      </c>
      <c r="B22" s="8">
        <f t="shared" ref="B22:O22" si="10">SUM(B7:B21)</f>
        <v>28893</v>
      </c>
      <c r="C22" s="8">
        <f t="shared" si="10"/>
        <v>16768</v>
      </c>
      <c r="D22" s="8">
        <f t="shared" si="10"/>
        <v>28729</v>
      </c>
      <c r="E22" s="8">
        <f t="shared" si="10"/>
        <v>27727</v>
      </c>
      <c r="F22" s="27">
        <f t="shared" si="10"/>
        <v>102117</v>
      </c>
      <c r="G22" s="8">
        <f t="shared" si="10"/>
        <v>41949</v>
      </c>
      <c r="H22" s="8">
        <f t="shared" si="10"/>
        <v>37434</v>
      </c>
      <c r="I22" s="8">
        <f t="shared" si="10"/>
        <v>49962</v>
      </c>
      <c r="J22" s="8">
        <f t="shared" si="10"/>
        <v>33314</v>
      </c>
      <c r="K22" s="27">
        <f t="shared" si="10"/>
        <v>162659</v>
      </c>
      <c r="L22" s="8">
        <f t="shared" si="10"/>
        <v>34914</v>
      </c>
      <c r="M22" s="8">
        <f t="shared" si="10"/>
        <v>60441</v>
      </c>
      <c r="N22" s="8">
        <f t="shared" si="10"/>
        <v>53013</v>
      </c>
      <c r="O22" s="8">
        <f t="shared" si="10"/>
        <v>30526</v>
      </c>
      <c r="P22" s="27">
        <f>SUM(P7:P21)</f>
        <v>178894</v>
      </c>
      <c r="Q22" s="8">
        <f t="shared" ref="Q22:R22" si="11">SUM(Q7:Q21)</f>
        <v>19067</v>
      </c>
      <c r="R22" s="8">
        <f t="shared" si="11"/>
        <v>48454</v>
      </c>
      <c r="S22" s="8">
        <f t="shared" ref="S22:T22" si="12">SUM(S7:S21)</f>
        <v>37906</v>
      </c>
      <c r="T22" s="8">
        <f t="shared" si="12"/>
        <v>33641</v>
      </c>
      <c r="U22" s="27">
        <f>SUM(U7:U21)</f>
        <v>139068</v>
      </c>
      <c r="V22" s="8">
        <f t="shared" ref="V22:W22" si="13">SUM(V7:V21)</f>
        <v>48138</v>
      </c>
      <c r="W22" s="8">
        <f t="shared" si="13"/>
        <v>39805</v>
      </c>
      <c r="X22" s="8">
        <f t="shared" ref="X22" si="14">SUM(X7:X21)</f>
        <v>102902</v>
      </c>
      <c r="Y22" s="47"/>
    </row>
    <row r="23" spans="1:25" x14ac:dyDescent="0.2">
      <c r="A23" s="1"/>
      <c r="B23" s="11"/>
      <c r="C23" s="11"/>
      <c r="D23" s="11"/>
      <c r="E23" s="11"/>
      <c r="F23" s="29"/>
      <c r="G23" s="11"/>
      <c r="H23" s="11"/>
      <c r="I23" s="11"/>
      <c r="J23" s="11"/>
      <c r="K23" s="29"/>
      <c r="L23" s="11"/>
      <c r="M23" s="11"/>
      <c r="N23" s="11"/>
      <c r="O23" s="11"/>
      <c r="P23" s="29"/>
      <c r="Q23" s="11"/>
      <c r="R23" s="11"/>
      <c r="S23" s="11"/>
      <c r="T23" s="11"/>
      <c r="U23" s="29"/>
      <c r="V23" s="11"/>
      <c r="W23" s="11"/>
      <c r="X23" s="11"/>
      <c r="Y23" s="47"/>
    </row>
    <row r="24" spans="1:25" x14ac:dyDescent="0.2">
      <c r="A24" s="39" t="s">
        <v>51</v>
      </c>
      <c r="B24" s="5"/>
      <c r="C24" s="5"/>
      <c r="D24" s="5"/>
      <c r="E24" s="5"/>
      <c r="F24" s="24"/>
      <c r="G24" s="3"/>
      <c r="H24" s="3"/>
      <c r="I24" s="3"/>
      <c r="J24" s="3"/>
      <c r="K24" s="24"/>
      <c r="L24" s="3"/>
      <c r="M24" s="3"/>
      <c r="N24" s="3"/>
      <c r="O24" s="3"/>
      <c r="P24" s="24"/>
      <c r="Q24" s="3"/>
      <c r="R24" s="3"/>
      <c r="S24" s="3"/>
      <c r="T24" s="3"/>
      <c r="U24" s="24"/>
      <c r="V24" s="3"/>
      <c r="W24" s="3"/>
      <c r="X24" s="3"/>
      <c r="Y24" s="47"/>
    </row>
    <row r="25" spans="1:25" x14ac:dyDescent="0.2">
      <c r="A25" s="14" t="s">
        <v>175</v>
      </c>
      <c r="B25" s="5">
        <v>-932</v>
      </c>
      <c r="C25" s="5">
        <v>-2556</v>
      </c>
      <c r="D25" s="5">
        <v>-774</v>
      </c>
      <c r="E25" s="5">
        <f>-5866+4262</f>
        <v>-1604</v>
      </c>
      <c r="F25" s="25">
        <f t="shared" ref="F25:F31" si="15">SUM(B25:E25)</f>
        <v>-5866</v>
      </c>
      <c r="G25" s="5">
        <v>-3636</v>
      </c>
      <c r="H25" s="5">
        <v>-2303</v>
      </c>
      <c r="I25" s="5">
        <v>-3506</v>
      </c>
      <c r="J25" s="5">
        <v>-3410</v>
      </c>
      <c r="K25" s="25">
        <f t="shared" ref="K25:K31" si="16">SUM(G25:J25)</f>
        <v>-12855</v>
      </c>
      <c r="L25" s="5">
        <v>-3632</v>
      </c>
      <c r="M25" s="5">
        <v>-7741</v>
      </c>
      <c r="N25" s="5">
        <v>-7123</v>
      </c>
      <c r="O25" s="5">
        <f>-29880+18496</f>
        <v>-11384</v>
      </c>
      <c r="P25" s="25">
        <f t="shared" ref="P25:P31" si="17">SUM(L25:O25)</f>
        <v>-29880</v>
      </c>
      <c r="Q25" s="5">
        <v>-3760</v>
      </c>
      <c r="R25" s="5">
        <v>-11742</v>
      </c>
      <c r="S25" s="5">
        <v>-10094</v>
      </c>
      <c r="T25" s="5">
        <v>-13557</v>
      </c>
      <c r="U25" s="25">
        <f t="shared" ref="U25:U31" si="18">SUM(Q25:T25)</f>
        <v>-39153</v>
      </c>
      <c r="V25" s="5">
        <v>-5039</v>
      </c>
      <c r="W25" s="5">
        <v>-5256</v>
      </c>
      <c r="X25" s="5">
        <v>-4371</v>
      </c>
      <c r="Y25" s="47"/>
    </row>
    <row r="26" spans="1:25" x14ac:dyDescent="0.2">
      <c r="A26" s="14" t="s">
        <v>52</v>
      </c>
      <c r="B26" s="5">
        <v>-2242</v>
      </c>
      <c r="C26" s="5">
        <v>-3302</v>
      </c>
      <c r="D26" s="5">
        <v>-4877</v>
      </c>
      <c r="E26" s="5">
        <f>-13422+10421</f>
        <v>-3001</v>
      </c>
      <c r="F26" s="25">
        <f t="shared" si="15"/>
        <v>-13422</v>
      </c>
      <c r="G26" s="5">
        <v>-2645</v>
      </c>
      <c r="H26" s="5">
        <v>-3147</v>
      </c>
      <c r="I26" s="5">
        <v>-5785</v>
      </c>
      <c r="J26" s="5">
        <v>-3630</v>
      </c>
      <c r="K26" s="25">
        <f t="shared" si="16"/>
        <v>-15207</v>
      </c>
      <c r="L26" s="5">
        <v>-2860</v>
      </c>
      <c r="M26" s="5">
        <v>-4259</v>
      </c>
      <c r="N26" s="5">
        <v>-5345</v>
      </c>
      <c r="O26" s="5">
        <f>-17378+12464</f>
        <v>-4914</v>
      </c>
      <c r="P26" s="25">
        <f t="shared" si="17"/>
        <v>-17378</v>
      </c>
      <c r="Q26" s="5">
        <v>-4242</v>
      </c>
      <c r="R26" s="5">
        <v>-3948</v>
      </c>
      <c r="S26" s="5">
        <v>-5079</v>
      </c>
      <c r="T26" s="5">
        <v>-4426</v>
      </c>
      <c r="U26" s="25">
        <f t="shared" si="18"/>
        <v>-17695</v>
      </c>
      <c r="V26" s="5">
        <v>-4310</v>
      </c>
      <c r="W26" s="5">
        <v>-3466</v>
      </c>
      <c r="X26" s="5">
        <v>-4569</v>
      </c>
      <c r="Y26" s="47"/>
    </row>
    <row r="27" spans="1:25" x14ac:dyDescent="0.2">
      <c r="A27" s="14" t="s">
        <v>53</v>
      </c>
      <c r="B27" s="5">
        <v>0</v>
      </c>
      <c r="C27" s="5">
        <v>-1161</v>
      </c>
      <c r="D27" s="5">
        <v>-19</v>
      </c>
      <c r="E27" s="5">
        <f>-1244+1180</f>
        <v>-64</v>
      </c>
      <c r="F27" s="25">
        <f t="shared" si="15"/>
        <v>-1244</v>
      </c>
      <c r="G27" s="5">
        <v>0</v>
      </c>
      <c r="H27" s="5">
        <v>-3132</v>
      </c>
      <c r="I27" s="5">
        <v>-18901</v>
      </c>
      <c r="J27" s="5">
        <v>-10</v>
      </c>
      <c r="K27" s="25">
        <f t="shared" si="16"/>
        <v>-22043</v>
      </c>
      <c r="L27" s="5">
        <v>0</v>
      </c>
      <c r="M27" s="5">
        <v>-163</v>
      </c>
      <c r="N27" s="5">
        <v>-3</v>
      </c>
      <c r="O27" s="5">
        <f>-4877+166</f>
        <v>-4711</v>
      </c>
      <c r="P27" s="25">
        <f t="shared" si="17"/>
        <v>-4877</v>
      </c>
      <c r="Q27" s="5">
        <v>0</v>
      </c>
      <c r="R27" s="5">
        <v>-278</v>
      </c>
      <c r="S27" s="5">
        <v>0</v>
      </c>
      <c r="T27" s="5">
        <v>-348</v>
      </c>
      <c r="U27" s="25">
        <f t="shared" si="18"/>
        <v>-626</v>
      </c>
      <c r="V27" s="5">
        <v>-4190</v>
      </c>
      <c r="W27" s="5">
        <v>-540</v>
      </c>
      <c r="X27" s="5">
        <v>-8</v>
      </c>
      <c r="Y27" s="47"/>
    </row>
    <row r="28" spans="1:25" x14ac:dyDescent="0.2">
      <c r="A28" s="14" t="s">
        <v>54</v>
      </c>
      <c r="B28" s="5">
        <v>0</v>
      </c>
      <c r="C28" s="5">
        <v>111460</v>
      </c>
      <c r="D28" s="5">
        <v>0</v>
      </c>
      <c r="E28" s="5">
        <v>0</v>
      </c>
      <c r="F28" s="25">
        <f t="shared" si="15"/>
        <v>111460</v>
      </c>
      <c r="G28" s="5">
        <v>0</v>
      </c>
      <c r="H28" s="5">
        <v>0</v>
      </c>
      <c r="I28" s="5">
        <v>0</v>
      </c>
      <c r="J28" s="5">
        <v>0</v>
      </c>
      <c r="K28" s="25">
        <f t="shared" si="16"/>
        <v>0</v>
      </c>
      <c r="L28" s="5">
        <v>0</v>
      </c>
      <c r="M28" s="5">
        <v>0</v>
      </c>
      <c r="N28" s="5">
        <v>0</v>
      </c>
      <c r="O28" s="5">
        <v>0</v>
      </c>
      <c r="P28" s="25">
        <f t="shared" si="17"/>
        <v>0</v>
      </c>
      <c r="Q28" s="5">
        <v>0</v>
      </c>
      <c r="R28" s="5">
        <v>0</v>
      </c>
      <c r="S28" s="5">
        <v>0</v>
      </c>
      <c r="T28" s="5">
        <v>0</v>
      </c>
      <c r="U28" s="25">
        <f t="shared" si="18"/>
        <v>0</v>
      </c>
      <c r="V28" s="5">
        <v>0</v>
      </c>
      <c r="W28" s="5">
        <v>0</v>
      </c>
      <c r="X28" s="5">
        <v>0</v>
      </c>
      <c r="Y28" s="47"/>
    </row>
    <row r="29" spans="1:25" x14ac:dyDescent="0.2">
      <c r="A29" s="14" t="s">
        <v>108</v>
      </c>
      <c r="B29" s="5">
        <v>0</v>
      </c>
      <c r="C29" s="5">
        <v>0</v>
      </c>
      <c r="D29" s="5">
        <v>0</v>
      </c>
      <c r="E29" s="5">
        <v>0</v>
      </c>
      <c r="F29" s="25">
        <f t="shared" si="15"/>
        <v>0</v>
      </c>
      <c r="G29" s="5">
        <v>0</v>
      </c>
      <c r="H29" s="5">
        <v>0</v>
      </c>
      <c r="I29" s="5">
        <v>0</v>
      </c>
      <c r="J29" s="5">
        <v>0</v>
      </c>
      <c r="K29" s="25">
        <f t="shared" si="16"/>
        <v>0</v>
      </c>
      <c r="L29" s="5">
        <v>3419</v>
      </c>
      <c r="M29" s="5">
        <v>0</v>
      </c>
      <c r="N29" s="5">
        <v>0</v>
      </c>
      <c r="O29" s="5">
        <v>0</v>
      </c>
      <c r="P29" s="25">
        <f t="shared" si="17"/>
        <v>3419</v>
      </c>
      <c r="Q29" s="5">
        <v>0</v>
      </c>
      <c r="R29" s="5">
        <v>0</v>
      </c>
      <c r="S29" s="5">
        <v>0</v>
      </c>
      <c r="T29" s="5">
        <v>0</v>
      </c>
      <c r="U29" s="25">
        <f t="shared" si="18"/>
        <v>0</v>
      </c>
      <c r="V29" s="5">
        <v>0</v>
      </c>
      <c r="W29" s="5">
        <v>0</v>
      </c>
      <c r="X29" s="5">
        <v>0</v>
      </c>
      <c r="Y29" s="47"/>
    </row>
    <row r="30" spans="1:25" x14ac:dyDescent="0.2">
      <c r="A30" s="14" t="s">
        <v>162</v>
      </c>
      <c r="B30" s="5">
        <v>0</v>
      </c>
      <c r="C30" s="5">
        <v>0</v>
      </c>
      <c r="D30" s="5">
        <v>0</v>
      </c>
      <c r="E30" s="5">
        <v>0</v>
      </c>
      <c r="F30" s="25">
        <f t="shared" ref="F30" si="19">SUM(B30:E30)</f>
        <v>0</v>
      </c>
      <c r="G30" s="5">
        <v>0</v>
      </c>
      <c r="H30" s="5">
        <v>0</v>
      </c>
      <c r="I30" s="5">
        <v>0</v>
      </c>
      <c r="J30" s="5">
        <v>0</v>
      </c>
      <c r="K30" s="25">
        <f t="shared" ref="K30" si="20">SUM(G30:J30)</f>
        <v>0</v>
      </c>
      <c r="L30" s="5">
        <v>0</v>
      </c>
      <c r="M30" s="5">
        <v>0</v>
      </c>
      <c r="N30" s="5">
        <v>0</v>
      </c>
      <c r="O30" s="5">
        <v>0</v>
      </c>
      <c r="P30" s="25">
        <f t="shared" ref="P30" si="21">SUM(L30:O30)</f>
        <v>0</v>
      </c>
      <c r="Q30" s="5">
        <v>60045</v>
      </c>
      <c r="R30" s="5">
        <v>-1252</v>
      </c>
      <c r="S30" s="5">
        <v>0</v>
      </c>
      <c r="T30" s="5">
        <v>0</v>
      </c>
      <c r="U30" s="25">
        <f t="shared" si="18"/>
        <v>58793</v>
      </c>
      <c r="V30" s="5">
        <v>1000</v>
      </c>
      <c r="W30" s="5">
        <v>0</v>
      </c>
      <c r="X30" s="5">
        <v>0</v>
      </c>
      <c r="Y30" s="47"/>
    </row>
    <row r="31" spans="1:25" x14ac:dyDescent="0.2">
      <c r="A31" s="14" t="s">
        <v>49</v>
      </c>
      <c r="B31" s="50">
        <f>116</f>
        <v>116</v>
      </c>
      <c r="C31" s="50">
        <f>-7-4+4</f>
        <v>-7</v>
      </c>
      <c r="D31" s="50">
        <v>416</v>
      </c>
      <c r="E31" s="50">
        <f>6384-3967+6-525</f>
        <v>1898</v>
      </c>
      <c r="F31" s="57">
        <f t="shared" si="15"/>
        <v>2423</v>
      </c>
      <c r="G31" s="50">
        <v>-102</v>
      </c>
      <c r="H31" s="50">
        <v>28</v>
      </c>
      <c r="I31" s="50">
        <v>-32</v>
      </c>
      <c r="J31" s="50">
        <f>1278-1324+131+106</f>
        <v>191</v>
      </c>
      <c r="K31" s="57">
        <f t="shared" si="16"/>
        <v>85</v>
      </c>
      <c r="L31" s="50">
        <v>232</v>
      </c>
      <c r="M31" s="50">
        <v>299</v>
      </c>
      <c r="N31" s="50">
        <v>124</v>
      </c>
      <c r="O31" s="5">
        <f>4226-3419-655</f>
        <v>152</v>
      </c>
      <c r="P31" s="57">
        <f t="shared" si="17"/>
        <v>807</v>
      </c>
      <c r="Q31" s="50">
        <v>130</v>
      </c>
      <c r="R31" s="50">
        <v>303</v>
      </c>
      <c r="S31" s="50">
        <f>2017+87</f>
        <v>2104</v>
      </c>
      <c r="T31" s="50">
        <v>661</v>
      </c>
      <c r="U31" s="57">
        <f t="shared" si="18"/>
        <v>3198</v>
      </c>
      <c r="V31" s="50">
        <v>1505</v>
      </c>
      <c r="W31" s="50">
        <v>608</v>
      </c>
      <c r="X31" s="50">
        <v>371</v>
      </c>
      <c r="Y31" s="47"/>
    </row>
    <row r="32" spans="1:25" x14ac:dyDescent="0.2">
      <c r="A32" s="1" t="s">
        <v>147</v>
      </c>
      <c r="B32" s="8">
        <f t="shared" ref="B32:O32" si="22">SUM(B25:B31)</f>
        <v>-3058</v>
      </c>
      <c r="C32" s="8">
        <f t="shared" si="22"/>
        <v>104434</v>
      </c>
      <c r="D32" s="8">
        <f t="shared" si="22"/>
        <v>-5254</v>
      </c>
      <c r="E32" s="8">
        <f t="shared" si="22"/>
        <v>-2771</v>
      </c>
      <c r="F32" s="27">
        <f t="shared" si="22"/>
        <v>93351</v>
      </c>
      <c r="G32" s="8">
        <f t="shared" si="22"/>
        <v>-6383</v>
      </c>
      <c r="H32" s="8">
        <f t="shared" si="22"/>
        <v>-8554</v>
      </c>
      <c r="I32" s="8">
        <f t="shared" si="22"/>
        <v>-28224</v>
      </c>
      <c r="J32" s="8">
        <f t="shared" si="22"/>
        <v>-6859</v>
      </c>
      <c r="K32" s="27">
        <f t="shared" si="22"/>
        <v>-50020</v>
      </c>
      <c r="L32" s="8">
        <f t="shared" si="22"/>
        <v>-2841</v>
      </c>
      <c r="M32" s="8">
        <f t="shared" si="22"/>
        <v>-11864</v>
      </c>
      <c r="N32" s="8">
        <f t="shared" si="22"/>
        <v>-12347</v>
      </c>
      <c r="O32" s="8">
        <f t="shared" si="22"/>
        <v>-20857</v>
      </c>
      <c r="P32" s="27">
        <f>SUM(P25:P31)</f>
        <v>-47909</v>
      </c>
      <c r="Q32" s="8">
        <f t="shared" ref="Q32:R32" si="23">SUM(Q25:Q31)</f>
        <v>52173</v>
      </c>
      <c r="R32" s="8">
        <f t="shared" si="23"/>
        <v>-16917</v>
      </c>
      <c r="S32" s="8">
        <f t="shared" ref="S32:T32" si="24">SUM(S25:S31)</f>
        <v>-13069</v>
      </c>
      <c r="T32" s="8">
        <f t="shared" si="24"/>
        <v>-17670</v>
      </c>
      <c r="U32" s="27">
        <f>SUM(U25:U31)</f>
        <v>4517</v>
      </c>
      <c r="V32" s="8">
        <f t="shared" ref="V32:W32" si="25">SUM(V25:V31)</f>
        <v>-11034</v>
      </c>
      <c r="W32" s="8">
        <f t="shared" si="25"/>
        <v>-8654</v>
      </c>
      <c r="X32" s="8">
        <f t="shared" ref="X32" si="26">SUM(X25:X31)</f>
        <v>-8577</v>
      </c>
      <c r="Y32" s="47"/>
    </row>
    <row r="33" spans="1:25" x14ac:dyDescent="0.2">
      <c r="A33" s="1"/>
      <c r="B33" s="11"/>
      <c r="C33" s="11"/>
      <c r="D33" s="11"/>
      <c r="E33" s="11"/>
      <c r="F33" s="29"/>
      <c r="G33" s="11"/>
      <c r="H33" s="11"/>
      <c r="I33" s="11"/>
      <c r="J33" s="11"/>
      <c r="K33" s="29"/>
      <c r="L33" s="11"/>
      <c r="M33" s="11"/>
      <c r="N33" s="11"/>
      <c r="O33" s="11"/>
      <c r="P33" s="29"/>
      <c r="Q33" s="11"/>
      <c r="R33" s="11"/>
      <c r="S33" s="11"/>
      <c r="T33" s="11"/>
      <c r="U33" s="29"/>
      <c r="V33" s="11"/>
      <c r="W33" s="11"/>
      <c r="X33" s="11"/>
      <c r="Y33" s="47"/>
    </row>
    <row r="34" spans="1:25" x14ac:dyDescent="0.2">
      <c r="A34" s="39" t="s">
        <v>55</v>
      </c>
      <c r="B34" s="3"/>
      <c r="C34" s="3"/>
      <c r="D34" s="3"/>
      <c r="E34" s="3"/>
      <c r="F34" s="24"/>
      <c r="G34" s="3"/>
      <c r="H34" s="3"/>
      <c r="I34" s="3"/>
      <c r="J34" s="3"/>
      <c r="K34" s="24"/>
      <c r="L34" s="3"/>
      <c r="M34" s="3"/>
      <c r="N34" s="3"/>
      <c r="O34" s="3"/>
      <c r="P34" s="24"/>
      <c r="Q34" s="3"/>
      <c r="R34" s="3"/>
      <c r="S34" s="3"/>
      <c r="T34" s="3"/>
      <c r="U34" s="24"/>
      <c r="V34" s="3"/>
      <c r="W34" s="3"/>
      <c r="X34" s="3"/>
      <c r="Y34" s="47"/>
    </row>
    <row r="35" spans="1:25" x14ac:dyDescent="0.2">
      <c r="A35" s="14" t="s">
        <v>125</v>
      </c>
      <c r="B35" s="5">
        <v>-15258</v>
      </c>
      <c r="C35" s="5">
        <v>-15195</v>
      </c>
      <c r="D35" s="5">
        <v>-15194</v>
      </c>
      <c r="E35" s="5">
        <f>-60842+45647</f>
        <v>-15195</v>
      </c>
      <c r="F35" s="25">
        <f t="shared" ref="F35:F43" si="27">SUM(B35:E35)</f>
        <v>-60842</v>
      </c>
      <c r="G35" s="5">
        <v>-15228</v>
      </c>
      <c r="H35" s="5">
        <v>-15229</v>
      </c>
      <c r="I35" s="5">
        <v>-15229</v>
      </c>
      <c r="J35" s="5">
        <v>-16245</v>
      </c>
      <c r="K35" s="25">
        <f t="shared" ref="K35:K43" si="28">SUM(G35:J35)</f>
        <v>-61931</v>
      </c>
      <c r="L35" s="5">
        <v>-25102</v>
      </c>
      <c r="M35" s="5">
        <v>-25101</v>
      </c>
      <c r="N35" s="5">
        <v>-25102</v>
      </c>
      <c r="O35" s="5">
        <v>-71463</v>
      </c>
      <c r="P35" s="25">
        <f t="shared" ref="P35:P43" si="29">SUM(L35:O35)</f>
        <v>-146768</v>
      </c>
      <c r="Q35" s="5">
        <v>-27065</v>
      </c>
      <c r="R35" s="5">
        <v>-26881</v>
      </c>
      <c r="S35" s="5">
        <v>-26888</v>
      </c>
      <c r="T35" s="5">
        <v>-26888</v>
      </c>
      <c r="U35" s="25">
        <f t="shared" ref="U35:U43" si="30">SUM(Q35:T35)</f>
        <v>-107722</v>
      </c>
      <c r="V35" s="5">
        <v>-26941</v>
      </c>
      <c r="W35" s="5">
        <v>-26744</v>
      </c>
      <c r="X35" s="5">
        <v>-26749</v>
      </c>
      <c r="Y35" s="47"/>
    </row>
    <row r="36" spans="1:25" x14ac:dyDescent="0.2">
      <c r="A36" s="14" t="s">
        <v>56</v>
      </c>
      <c r="B36" s="5">
        <v>0</v>
      </c>
      <c r="C36" s="5">
        <v>-5956</v>
      </c>
      <c r="D36" s="5">
        <v>0</v>
      </c>
      <c r="E36" s="5">
        <v>0</v>
      </c>
      <c r="F36" s="25">
        <f t="shared" si="27"/>
        <v>-5956</v>
      </c>
      <c r="G36" s="5">
        <v>0</v>
      </c>
      <c r="H36" s="5">
        <v>0</v>
      </c>
      <c r="I36" s="5">
        <v>0</v>
      </c>
      <c r="J36" s="5">
        <v>0</v>
      </c>
      <c r="K36" s="25">
        <f t="shared" si="28"/>
        <v>0</v>
      </c>
      <c r="L36" s="5">
        <v>0</v>
      </c>
      <c r="M36" s="5">
        <v>0</v>
      </c>
      <c r="N36" s="5">
        <v>0</v>
      </c>
      <c r="O36" s="5">
        <v>0</v>
      </c>
      <c r="P36" s="25">
        <f t="shared" si="29"/>
        <v>0</v>
      </c>
      <c r="Q36" s="5">
        <v>-10158</v>
      </c>
      <c r="R36" s="5">
        <v>-15015</v>
      </c>
      <c r="S36" s="5">
        <v>0</v>
      </c>
      <c r="T36" s="5">
        <v>0</v>
      </c>
      <c r="U36" s="25">
        <f t="shared" si="30"/>
        <v>-25173</v>
      </c>
      <c r="V36" s="5">
        <v>-12355</v>
      </c>
      <c r="W36" s="5">
        <v>-3009</v>
      </c>
      <c r="X36" s="5">
        <v>0</v>
      </c>
      <c r="Y36" s="47"/>
    </row>
    <row r="37" spans="1:25" x14ac:dyDescent="0.2">
      <c r="A37" s="14" t="s">
        <v>106</v>
      </c>
      <c r="B37" s="5">
        <v>0</v>
      </c>
      <c r="C37" s="5">
        <v>0</v>
      </c>
      <c r="D37" s="5">
        <v>0</v>
      </c>
      <c r="E37" s="5">
        <v>0</v>
      </c>
      <c r="F37" s="25">
        <f t="shared" si="27"/>
        <v>0</v>
      </c>
      <c r="G37" s="5">
        <v>0</v>
      </c>
      <c r="H37" s="5">
        <v>0</v>
      </c>
      <c r="I37" s="5">
        <v>0</v>
      </c>
      <c r="J37" s="5">
        <v>0</v>
      </c>
      <c r="K37" s="25">
        <f t="shared" si="28"/>
        <v>0</v>
      </c>
      <c r="L37" s="5">
        <v>100000</v>
      </c>
      <c r="M37" s="5">
        <v>0</v>
      </c>
      <c r="N37" s="5">
        <v>0</v>
      </c>
      <c r="O37" s="5">
        <v>0</v>
      </c>
      <c r="P37" s="25">
        <f t="shared" si="29"/>
        <v>100000</v>
      </c>
      <c r="Q37" s="5">
        <v>0</v>
      </c>
      <c r="R37" s="5">
        <v>0</v>
      </c>
      <c r="S37" s="5">
        <v>0</v>
      </c>
      <c r="T37" s="5">
        <v>0</v>
      </c>
      <c r="U37" s="25">
        <f t="shared" si="30"/>
        <v>0</v>
      </c>
      <c r="V37" s="5">
        <v>0</v>
      </c>
      <c r="W37" s="5">
        <v>0</v>
      </c>
      <c r="X37" s="5">
        <v>0</v>
      </c>
      <c r="Y37" s="47"/>
    </row>
    <row r="38" spans="1:25" x14ac:dyDescent="0.2">
      <c r="A38" s="14" t="s">
        <v>107</v>
      </c>
      <c r="B38" s="5">
        <v>-30000</v>
      </c>
      <c r="C38" s="5">
        <v>0</v>
      </c>
      <c r="D38" s="5">
        <v>0</v>
      </c>
      <c r="E38" s="5">
        <v>0</v>
      </c>
      <c r="F38" s="25">
        <f t="shared" si="27"/>
        <v>-30000</v>
      </c>
      <c r="G38" s="5">
        <v>0</v>
      </c>
      <c r="H38" s="5">
        <v>0</v>
      </c>
      <c r="I38" s="5">
        <v>0</v>
      </c>
      <c r="J38" s="5">
        <v>0</v>
      </c>
      <c r="K38" s="25">
        <f t="shared" si="28"/>
        <v>0</v>
      </c>
      <c r="L38" s="5">
        <v>-100000</v>
      </c>
      <c r="M38" s="5">
        <v>0</v>
      </c>
      <c r="N38" s="5">
        <v>0</v>
      </c>
      <c r="O38" s="5">
        <v>0</v>
      </c>
      <c r="P38" s="25">
        <f t="shared" si="29"/>
        <v>-100000</v>
      </c>
      <c r="Q38" s="5">
        <v>0</v>
      </c>
      <c r="R38" s="5">
        <v>0</v>
      </c>
      <c r="S38" s="5">
        <v>0</v>
      </c>
      <c r="T38" s="5">
        <v>0</v>
      </c>
      <c r="U38" s="25">
        <f t="shared" si="30"/>
        <v>0</v>
      </c>
      <c r="V38" s="5">
        <v>0</v>
      </c>
      <c r="W38" s="5">
        <v>0</v>
      </c>
      <c r="X38" s="5">
        <v>0</v>
      </c>
      <c r="Y38" s="47"/>
    </row>
    <row r="39" spans="1:25" x14ac:dyDescent="0.2">
      <c r="A39" s="14" t="s">
        <v>155</v>
      </c>
      <c r="B39" s="5">
        <v>0</v>
      </c>
      <c r="C39" s="5">
        <v>0</v>
      </c>
      <c r="D39" s="5">
        <v>0</v>
      </c>
      <c r="E39" s="5">
        <v>0</v>
      </c>
      <c r="F39" s="25">
        <f t="shared" si="27"/>
        <v>0</v>
      </c>
      <c r="G39" s="5">
        <v>0</v>
      </c>
      <c r="H39" s="5">
        <v>0</v>
      </c>
      <c r="I39" s="5">
        <v>0</v>
      </c>
      <c r="J39" s="5">
        <v>0</v>
      </c>
      <c r="K39" s="25">
        <f t="shared" si="28"/>
        <v>0</v>
      </c>
      <c r="L39" s="5">
        <v>-106000</v>
      </c>
      <c r="M39" s="5">
        <v>0</v>
      </c>
      <c r="N39" s="5">
        <v>0</v>
      </c>
      <c r="O39" s="5">
        <v>0</v>
      </c>
      <c r="P39" s="25">
        <f t="shared" si="29"/>
        <v>-106000</v>
      </c>
      <c r="Q39" s="5">
        <v>0</v>
      </c>
      <c r="R39" s="5">
        <v>0</v>
      </c>
      <c r="S39" s="5">
        <v>0</v>
      </c>
      <c r="T39" s="5">
        <v>0</v>
      </c>
      <c r="U39" s="25">
        <f t="shared" si="30"/>
        <v>0</v>
      </c>
      <c r="V39" s="5">
        <v>0</v>
      </c>
      <c r="W39" s="5">
        <v>0</v>
      </c>
      <c r="X39" s="5">
        <v>0</v>
      </c>
      <c r="Y39" s="47"/>
    </row>
    <row r="40" spans="1:25" x14ac:dyDescent="0.2">
      <c r="A40" s="14" t="s">
        <v>58</v>
      </c>
      <c r="B40" s="5">
        <v>27500</v>
      </c>
      <c r="C40" s="5">
        <v>0</v>
      </c>
      <c r="D40" s="5">
        <v>65735</v>
      </c>
      <c r="E40" s="5">
        <v>0</v>
      </c>
      <c r="F40" s="25">
        <f t="shared" si="27"/>
        <v>93235</v>
      </c>
      <c r="G40" s="5">
        <v>0</v>
      </c>
      <c r="H40" s="5">
        <v>0</v>
      </c>
      <c r="I40" s="5">
        <v>0</v>
      </c>
      <c r="J40" s="5">
        <v>0</v>
      </c>
      <c r="K40" s="25">
        <f t="shared" si="28"/>
        <v>0</v>
      </c>
      <c r="L40" s="5">
        <v>100000</v>
      </c>
      <c r="M40" s="5">
        <v>0</v>
      </c>
      <c r="N40" s="5">
        <v>0</v>
      </c>
      <c r="O40" s="5">
        <v>0</v>
      </c>
      <c r="P40" s="25">
        <f t="shared" si="29"/>
        <v>100000</v>
      </c>
      <c r="Q40" s="5">
        <v>150000</v>
      </c>
      <c r="R40" s="5">
        <v>0</v>
      </c>
      <c r="S40" s="5">
        <v>0</v>
      </c>
      <c r="T40" s="5">
        <v>40000</v>
      </c>
      <c r="U40" s="25">
        <f t="shared" si="30"/>
        <v>190000</v>
      </c>
      <c r="V40" s="5">
        <v>0</v>
      </c>
      <c r="W40" s="5">
        <v>0</v>
      </c>
      <c r="X40" s="5">
        <v>0</v>
      </c>
      <c r="Y40" s="47"/>
    </row>
    <row r="41" spans="1:25" x14ac:dyDescent="0.2">
      <c r="A41" s="14" t="s">
        <v>57</v>
      </c>
      <c r="B41" s="5">
        <v>-5000</v>
      </c>
      <c r="C41" s="5">
        <v>-42600</v>
      </c>
      <c r="D41" s="5">
        <v>-65735</v>
      </c>
      <c r="E41" s="5">
        <v>0</v>
      </c>
      <c r="F41" s="25">
        <f t="shared" si="27"/>
        <v>-113335</v>
      </c>
      <c r="G41" s="5">
        <v>0</v>
      </c>
      <c r="H41" s="5">
        <v>-5000</v>
      </c>
      <c r="I41" s="5">
        <v>0</v>
      </c>
      <c r="J41" s="5">
        <v>-6000</v>
      </c>
      <c r="K41" s="25">
        <f t="shared" si="28"/>
        <v>-11000</v>
      </c>
      <c r="L41" s="5">
        <v>-14250</v>
      </c>
      <c r="M41" s="5">
        <v>0</v>
      </c>
      <c r="N41" s="5">
        <v>0</v>
      </c>
      <c r="O41" s="5">
        <v>0</v>
      </c>
      <c r="P41" s="25">
        <f t="shared" si="29"/>
        <v>-14250</v>
      </c>
      <c r="Q41" s="5">
        <v>-150000</v>
      </c>
      <c r="R41" s="5">
        <v>0</v>
      </c>
      <c r="S41" s="5">
        <v>0</v>
      </c>
      <c r="T41" s="5">
        <v>-40000</v>
      </c>
      <c r="U41" s="25">
        <f t="shared" si="30"/>
        <v>-190000</v>
      </c>
      <c r="V41" s="5">
        <v>0</v>
      </c>
      <c r="W41" s="5">
        <v>0</v>
      </c>
      <c r="X41" s="5">
        <v>0</v>
      </c>
      <c r="Y41" s="47"/>
    </row>
    <row r="42" spans="1:25" x14ac:dyDescent="0.2">
      <c r="A42" s="14" t="s">
        <v>163</v>
      </c>
      <c r="B42" s="5">
        <v>0</v>
      </c>
      <c r="C42" s="5">
        <v>0</v>
      </c>
      <c r="D42" s="5">
        <v>0</v>
      </c>
      <c r="E42" s="5">
        <v>0</v>
      </c>
      <c r="F42" s="25">
        <f t="shared" ref="F42" si="31">SUM(B42:E42)</f>
        <v>0</v>
      </c>
      <c r="G42" s="5">
        <v>0</v>
      </c>
      <c r="H42" s="5">
        <v>0</v>
      </c>
      <c r="I42" s="5">
        <v>0</v>
      </c>
      <c r="J42" s="5">
        <v>0</v>
      </c>
      <c r="K42" s="25">
        <f t="shared" ref="K42" si="32">SUM(G42:J42)</f>
        <v>0</v>
      </c>
      <c r="L42" s="5">
        <v>0</v>
      </c>
      <c r="M42" s="5">
        <v>0</v>
      </c>
      <c r="N42" s="5">
        <v>0</v>
      </c>
      <c r="O42" s="5">
        <v>0</v>
      </c>
      <c r="P42" s="25">
        <f t="shared" ref="P42" si="33">SUM(L42:O42)</f>
        <v>0</v>
      </c>
      <c r="Q42" s="5">
        <v>-4865</v>
      </c>
      <c r="R42" s="5">
        <v>0</v>
      </c>
      <c r="S42" s="5">
        <v>0</v>
      </c>
      <c r="T42" s="5">
        <v>0</v>
      </c>
      <c r="U42" s="25">
        <f t="shared" si="30"/>
        <v>-4865</v>
      </c>
      <c r="V42" s="5">
        <v>0</v>
      </c>
      <c r="W42" s="5">
        <v>0</v>
      </c>
      <c r="X42" s="5">
        <v>0</v>
      </c>
      <c r="Y42" s="47"/>
    </row>
    <row r="43" spans="1:25" x14ac:dyDescent="0.2">
      <c r="A43" s="14" t="s">
        <v>49</v>
      </c>
      <c r="B43" s="51">
        <f>-2836-101-241</f>
        <v>-3178</v>
      </c>
      <c r="C43" s="51">
        <f>-2836-102-137-B43</f>
        <v>103</v>
      </c>
      <c r="D43" s="51">
        <f>3075-3879</f>
        <v>-804</v>
      </c>
      <c r="E43" s="51">
        <f>-3911+3879</f>
        <v>-32</v>
      </c>
      <c r="F43" s="58">
        <f t="shared" si="27"/>
        <v>-3911</v>
      </c>
      <c r="G43" s="51">
        <v>-1258</v>
      </c>
      <c r="H43" s="51">
        <v>9</v>
      </c>
      <c r="I43" s="51">
        <v>-30</v>
      </c>
      <c r="J43" s="51">
        <f>-1835+1279</f>
        <v>-556</v>
      </c>
      <c r="K43" s="58">
        <f t="shared" si="28"/>
        <v>-1835</v>
      </c>
      <c r="L43" s="51">
        <f>-2429-2409</f>
        <v>-4838</v>
      </c>
      <c r="M43" s="51">
        <v>-97</v>
      </c>
      <c r="N43" s="51">
        <f>-15-25</f>
        <v>-40</v>
      </c>
      <c r="O43" s="51">
        <f>-4983+4975</f>
        <v>-8</v>
      </c>
      <c r="P43" s="58">
        <f t="shared" si="29"/>
        <v>-4983</v>
      </c>
      <c r="Q43" s="51">
        <f>-525+312</f>
        <v>-213</v>
      </c>
      <c r="R43" s="51">
        <v>-51</v>
      </c>
      <c r="S43" s="51">
        <v>-129</v>
      </c>
      <c r="T43" s="51">
        <v>-619</v>
      </c>
      <c r="U43" s="58">
        <f t="shared" si="30"/>
        <v>-1012</v>
      </c>
      <c r="V43" s="51">
        <v>-242</v>
      </c>
      <c r="W43" s="51">
        <v>-284</v>
      </c>
      <c r="X43" s="51">
        <v>-506</v>
      </c>
      <c r="Y43" s="47"/>
    </row>
    <row r="44" spans="1:25" x14ac:dyDescent="0.2">
      <c r="A44" s="1" t="s">
        <v>148</v>
      </c>
      <c r="B44" s="8">
        <f t="shared" ref="B44:Q44" si="34">SUM(B35:B43)</f>
        <v>-25936</v>
      </c>
      <c r="C44" s="8">
        <f t="shared" si="34"/>
        <v>-63648</v>
      </c>
      <c r="D44" s="8">
        <f t="shared" si="34"/>
        <v>-15998</v>
      </c>
      <c r="E44" s="8">
        <f t="shared" si="34"/>
        <v>-15227</v>
      </c>
      <c r="F44" s="27">
        <f t="shared" si="34"/>
        <v>-120809</v>
      </c>
      <c r="G44" s="8">
        <f t="shared" si="34"/>
        <v>-16486</v>
      </c>
      <c r="H44" s="8">
        <f t="shared" si="34"/>
        <v>-20220</v>
      </c>
      <c r="I44" s="8">
        <f t="shared" si="34"/>
        <v>-15259</v>
      </c>
      <c r="J44" s="8">
        <f t="shared" si="34"/>
        <v>-22801</v>
      </c>
      <c r="K44" s="27">
        <f t="shared" si="34"/>
        <v>-74766</v>
      </c>
      <c r="L44" s="8">
        <f t="shared" si="34"/>
        <v>-50190</v>
      </c>
      <c r="M44" s="8">
        <f t="shared" si="34"/>
        <v>-25198</v>
      </c>
      <c r="N44" s="8">
        <f t="shared" si="34"/>
        <v>-25142</v>
      </c>
      <c r="O44" s="8">
        <f t="shared" si="34"/>
        <v>-71471</v>
      </c>
      <c r="P44" s="27">
        <f t="shared" si="34"/>
        <v>-172001</v>
      </c>
      <c r="Q44" s="8">
        <f t="shared" si="34"/>
        <v>-42301</v>
      </c>
      <c r="R44" s="8">
        <f t="shared" ref="R44:S44" si="35">SUM(R35:R43)</f>
        <v>-41947</v>
      </c>
      <c r="S44" s="8">
        <f t="shared" si="35"/>
        <v>-27017</v>
      </c>
      <c r="T44" s="8">
        <f t="shared" ref="T44:V44" si="36">SUM(T35:T43)</f>
        <v>-27507</v>
      </c>
      <c r="U44" s="27">
        <f t="shared" ref="U44" si="37">SUM(U35:U43)</f>
        <v>-138772</v>
      </c>
      <c r="V44" s="8">
        <f t="shared" si="36"/>
        <v>-39538</v>
      </c>
      <c r="W44" s="8">
        <f t="shared" ref="W44:X44" si="38">SUM(W35:W43)</f>
        <v>-30037</v>
      </c>
      <c r="X44" s="8">
        <f t="shared" si="38"/>
        <v>-27255</v>
      </c>
      <c r="Y44" s="47"/>
    </row>
    <row r="45" spans="1:25" x14ac:dyDescent="0.2">
      <c r="A45" s="1" t="s">
        <v>59</v>
      </c>
      <c r="B45" s="10">
        <f t="shared" ref="B45:Q45" si="39">B44+B32+B22</f>
        <v>-101</v>
      </c>
      <c r="C45" s="10">
        <f t="shared" si="39"/>
        <v>57554</v>
      </c>
      <c r="D45" s="10">
        <f t="shared" si="39"/>
        <v>7477</v>
      </c>
      <c r="E45" s="10">
        <f t="shared" si="39"/>
        <v>9729</v>
      </c>
      <c r="F45" s="28">
        <f t="shared" si="39"/>
        <v>74659</v>
      </c>
      <c r="G45" s="10">
        <f t="shared" si="39"/>
        <v>19080</v>
      </c>
      <c r="H45" s="10">
        <f t="shared" si="39"/>
        <v>8660</v>
      </c>
      <c r="I45" s="10">
        <f t="shared" si="39"/>
        <v>6479</v>
      </c>
      <c r="J45" s="10">
        <f t="shared" si="39"/>
        <v>3654</v>
      </c>
      <c r="K45" s="28">
        <f t="shared" si="39"/>
        <v>37873</v>
      </c>
      <c r="L45" s="10">
        <f t="shared" si="39"/>
        <v>-18117</v>
      </c>
      <c r="M45" s="10">
        <f t="shared" si="39"/>
        <v>23379</v>
      </c>
      <c r="N45" s="10">
        <f t="shared" si="39"/>
        <v>15524</v>
      </c>
      <c r="O45" s="10">
        <f t="shared" si="39"/>
        <v>-61802</v>
      </c>
      <c r="P45" s="28">
        <f t="shared" si="39"/>
        <v>-41016</v>
      </c>
      <c r="Q45" s="10">
        <f t="shared" si="39"/>
        <v>28939</v>
      </c>
      <c r="R45" s="10">
        <f t="shared" ref="R45:S45" si="40">R44+R32+R22</f>
        <v>-10410</v>
      </c>
      <c r="S45" s="10">
        <f t="shared" si="40"/>
        <v>-2180</v>
      </c>
      <c r="T45" s="10">
        <f t="shared" ref="T45:U45" si="41">T44+T32+T22</f>
        <v>-11536</v>
      </c>
      <c r="U45" s="28">
        <f t="shared" si="41"/>
        <v>4813</v>
      </c>
      <c r="V45" s="10">
        <f t="shared" ref="V45:W45" si="42">V44+V32+V22</f>
        <v>-2434</v>
      </c>
      <c r="W45" s="10">
        <f t="shared" si="42"/>
        <v>1114</v>
      </c>
      <c r="X45" s="10">
        <f t="shared" ref="X45" si="43">X44+X32+X22</f>
        <v>67070</v>
      </c>
      <c r="Y45" s="47"/>
    </row>
    <row r="46" spans="1:25" x14ac:dyDescent="0.2">
      <c r="A46" s="1" t="s">
        <v>60</v>
      </c>
      <c r="B46" s="5">
        <v>7925</v>
      </c>
      <c r="C46" s="5">
        <f>B47</f>
        <v>7824</v>
      </c>
      <c r="D46" s="5">
        <f>C47</f>
        <v>65378</v>
      </c>
      <c r="E46" s="5">
        <f>D47</f>
        <v>72855</v>
      </c>
      <c r="F46" s="25">
        <f>B46</f>
        <v>7925</v>
      </c>
      <c r="G46" s="5">
        <f>F47</f>
        <v>82584</v>
      </c>
      <c r="H46" s="5">
        <f>G47</f>
        <v>101664</v>
      </c>
      <c r="I46" s="5">
        <f>H47</f>
        <v>110324</v>
      </c>
      <c r="J46" s="5">
        <f>I47</f>
        <v>116803</v>
      </c>
      <c r="K46" s="25">
        <f>G46</f>
        <v>82584</v>
      </c>
      <c r="L46" s="5">
        <f>K47</f>
        <v>120457</v>
      </c>
      <c r="M46" s="5">
        <f>L47</f>
        <v>102340</v>
      </c>
      <c r="N46" s="5">
        <f>M47</f>
        <v>125719</v>
      </c>
      <c r="O46" s="5">
        <f>N47</f>
        <v>141243</v>
      </c>
      <c r="P46" s="25">
        <f>L46</f>
        <v>120457</v>
      </c>
      <c r="Q46" s="5">
        <f>P47</f>
        <v>79441</v>
      </c>
      <c r="R46" s="5">
        <f>Q47</f>
        <v>108380</v>
      </c>
      <c r="S46" s="5">
        <f>R47</f>
        <v>97970</v>
      </c>
      <c r="T46" s="5">
        <f>S47</f>
        <v>95790</v>
      </c>
      <c r="U46" s="25">
        <f>Q46</f>
        <v>79441</v>
      </c>
      <c r="V46" s="5">
        <f>U47</f>
        <v>84254</v>
      </c>
      <c r="W46" s="5">
        <f>V47</f>
        <v>81820</v>
      </c>
      <c r="X46" s="5">
        <f>W47</f>
        <v>82934</v>
      </c>
      <c r="Y46" s="47"/>
    </row>
    <row r="47" spans="1:25" ht="13.5" thickBot="1" x14ac:dyDescent="0.25">
      <c r="A47" s="1" t="s">
        <v>168</v>
      </c>
      <c r="B47" s="12">
        <f t="shared" ref="B47:O47" si="44">+B45+B46</f>
        <v>7824</v>
      </c>
      <c r="C47" s="12">
        <f t="shared" si="44"/>
        <v>65378</v>
      </c>
      <c r="D47" s="12">
        <f t="shared" si="44"/>
        <v>72855</v>
      </c>
      <c r="E47" s="12">
        <f t="shared" si="44"/>
        <v>82584</v>
      </c>
      <c r="F47" s="30">
        <f t="shared" si="44"/>
        <v>82584</v>
      </c>
      <c r="G47" s="12">
        <f t="shared" si="44"/>
        <v>101664</v>
      </c>
      <c r="H47" s="12">
        <f t="shared" si="44"/>
        <v>110324</v>
      </c>
      <c r="I47" s="12">
        <f t="shared" si="44"/>
        <v>116803</v>
      </c>
      <c r="J47" s="12">
        <f t="shared" si="44"/>
        <v>120457</v>
      </c>
      <c r="K47" s="30">
        <f t="shared" si="44"/>
        <v>120457</v>
      </c>
      <c r="L47" s="12">
        <f t="shared" si="44"/>
        <v>102340</v>
      </c>
      <c r="M47" s="12">
        <f t="shared" si="44"/>
        <v>125719</v>
      </c>
      <c r="N47" s="12">
        <f t="shared" si="44"/>
        <v>141243</v>
      </c>
      <c r="O47" s="12">
        <f t="shared" si="44"/>
        <v>79441</v>
      </c>
      <c r="P47" s="30">
        <f t="shared" ref="P47:Q47" si="45">+P45+P46</f>
        <v>79441</v>
      </c>
      <c r="Q47" s="12">
        <f t="shared" si="45"/>
        <v>108380</v>
      </c>
      <c r="R47" s="12">
        <f t="shared" ref="R47:S47" si="46">+R45+R46</f>
        <v>97970</v>
      </c>
      <c r="S47" s="12">
        <f t="shared" si="46"/>
        <v>95790</v>
      </c>
      <c r="T47" s="12">
        <f t="shared" ref="T47:U47" si="47">+T45+T46</f>
        <v>84254</v>
      </c>
      <c r="U47" s="30">
        <f t="shared" si="47"/>
        <v>84254</v>
      </c>
      <c r="V47" s="12">
        <f t="shared" ref="V47:W47" si="48">+V45+V46</f>
        <v>81820</v>
      </c>
      <c r="W47" s="12">
        <f t="shared" si="48"/>
        <v>82934</v>
      </c>
      <c r="X47" s="12">
        <f t="shared" ref="X47" si="49">+X45+X46</f>
        <v>150004</v>
      </c>
      <c r="Y47" s="47"/>
    </row>
    <row r="48" spans="1:25" ht="13.5" thickTop="1" x14ac:dyDescent="0.2">
      <c r="A48" s="52"/>
      <c r="B48" s="40"/>
      <c r="C48" s="40"/>
      <c r="D48" s="40"/>
      <c r="E48" s="40"/>
      <c r="F48" s="40"/>
      <c r="G48" s="40"/>
      <c r="H48" s="40"/>
      <c r="I48" s="40"/>
      <c r="J48" s="40"/>
      <c r="K48" s="40"/>
      <c r="L48" s="40"/>
      <c r="M48" s="40"/>
      <c r="N48" s="40"/>
      <c r="O48" s="40"/>
      <c r="P48" s="40"/>
      <c r="Q48" s="40"/>
      <c r="R48" s="40"/>
      <c r="S48" s="40"/>
      <c r="T48" s="40"/>
      <c r="U48" s="40"/>
      <c r="V48" s="40"/>
      <c r="W48" s="40"/>
      <c r="X48" s="40"/>
    </row>
    <row r="49" spans="1:24" x14ac:dyDescent="0.2">
      <c r="A49" s="39" t="s">
        <v>61</v>
      </c>
      <c r="B49" s="3"/>
      <c r="C49" s="3"/>
      <c r="D49" s="3"/>
      <c r="E49" s="3"/>
      <c r="F49" s="46"/>
      <c r="G49" s="46"/>
      <c r="H49" s="46"/>
      <c r="I49" s="46"/>
      <c r="J49" s="46"/>
      <c r="K49" s="46"/>
      <c r="L49" s="46"/>
      <c r="M49" s="46"/>
      <c r="N49" s="46"/>
      <c r="O49" s="46"/>
      <c r="P49" s="46"/>
      <c r="Q49" s="46"/>
      <c r="R49" s="46"/>
      <c r="S49" s="46"/>
      <c r="T49" s="46"/>
      <c r="U49" s="46"/>
      <c r="V49" s="46"/>
      <c r="W49" s="46"/>
      <c r="X49" s="46"/>
    </row>
    <row r="50" spans="1:24" x14ac:dyDescent="0.2">
      <c r="A50" s="1" t="s">
        <v>62</v>
      </c>
      <c r="B50" s="3"/>
      <c r="C50" s="3"/>
      <c r="D50" s="3"/>
      <c r="E50" s="3"/>
      <c r="F50" s="24"/>
      <c r="G50" s="3"/>
      <c r="H50" s="3"/>
      <c r="I50" s="3"/>
      <c r="J50" s="3"/>
      <c r="K50" s="24"/>
      <c r="L50" s="3"/>
      <c r="M50" s="3"/>
      <c r="N50" s="3"/>
      <c r="O50" s="3"/>
      <c r="P50" s="24"/>
      <c r="Q50" s="3"/>
      <c r="R50" s="3"/>
      <c r="S50" s="3"/>
      <c r="T50" s="3"/>
      <c r="U50" s="24"/>
      <c r="V50" s="3"/>
      <c r="W50" s="3"/>
      <c r="X50" s="3"/>
    </row>
    <row r="51" spans="1:24" x14ac:dyDescent="0.2">
      <c r="A51" s="42" t="s">
        <v>63</v>
      </c>
      <c r="B51" s="40"/>
      <c r="C51" s="40"/>
      <c r="D51" s="40"/>
      <c r="E51" s="40"/>
      <c r="F51" s="46">
        <v>28051</v>
      </c>
      <c r="G51" s="40"/>
      <c r="H51" s="40"/>
      <c r="I51" s="40"/>
      <c r="J51" s="40"/>
      <c r="K51" s="46">
        <v>26125</v>
      </c>
      <c r="L51" s="40"/>
      <c r="M51" s="40"/>
      <c r="N51" s="40"/>
      <c r="O51" s="40"/>
      <c r="P51" s="46">
        <v>34490</v>
      </c>
      <c r="Q51" s="40"/>
      <c r="R51" s="40"/>
      <c r="S51" s="40"/>
      <c r="T51" s="40"/>
      <c r="U51" s="46">
        <v>32282</v>
      </c>
      <c r="V51" s="40"/>
      <c r="W51" s="40"/>
      <c r="X51" s="40"/>
    </row>
    <row r="52" spans="1:24" x14ac:dyDescent="0.2">
      <c r="A52" s="42" t="s">
        <v>64</v>
      </c>
      <c r="B52" s="40"/>
      <c r="C52" s="40"/>
      <c r="D52" s="40"/>
      <c r="E52" s="40"/>
      <c r="F52" s="46">
        <v>-8081</v>
      </c>
      <c r="G52" s="40"/>
      <c r="H52" s="40"/>
      <c r="I52" s="40"/>
      <c r="J52" s="40"/>
      <c r="K52" s="46">
        <v>15845</v>
      </c>
      <c r="L52" s="40"/>
      <c r="M52" s="40"/>
      <c r="N52" s="40"/>
      <c r="O52" s="40"/>
      <c r="P52" s="46">
        <v>10800</v>
      </c>
      <c r="Q52" s="40"/>
      <c r="R52" s="40"/>
      <c r="S52" s="40"/>
      <c r="T52" s="40"/>
      <c r="U52" s="46">
        <v>7148</v>
      </c>
      <c r="V52" s="40"/>
      <c r="W52" s="40"/>
      <c r="X52" s="40"/>
    </row>
    <row r="53" spans="1:24" x14ac:dyDescent="0.2">
      <c r="A53" s="42"/>
      <c r="B53" s="40"/>
      <c r="C53" s="40"/>
      <c r="D53" s="40"/>
      <c r="E53" s="40"/>
      <c r="F53" s="46"/>
      <c r="G53" s="40"/>
      <c r="H53" s="40"/>
      <c r="I53" s="40"/>
      <c r="J53" s="40"/>
      <c r="K53" s="46"/>
      <c r="L53" s="40"/>
      <c r="M53" s="40"/>
      <c r="N53" s="40"/>
      <c r="O53" s="40"/>
      <c r="P53" s="46"/>
      <c r="Q53" s="40"/>
      <c r="R53" s="40"/>
      <c r="S53" s="40"/>
      <c r="T53" s="40"/>
      <c r="U53" s="46"/>
      <c r="V53" s="40"/>
      <c r="W53" s="40"/>
      <c r="X53" s="40"/>
    </row>
    <row r="54" spans="1:24" ht="25.5" x14ac:dyDescent="0.2">
      <c r="A54" s="64" t="s">
        <v>110</v>
      </c>
      <c r="B54" s="60"/>
      <c r="C54" s="60"/>
      <c r="D54" s="60"/>
      <c r="E54" s="60"/>
      <c r="F54" s="60"/>
      <c r="G54" s="60"/>
      <c r="H54" s="60"/>
      <c r="I54" s="60"/>
      <c r="J54" s="60"/>
      <c r="K54" s="60"/>
      <c r="L54" s="60"/>
      <c r="M54" s="60"/>
      <c r="N54" s="60"/>
      <c r="O54" s="60"/>
      <c r="P54" s="60"/>
      <c r="Q54" s="60"/>
      <c r="R54" s="60"/>
      <c r="S54" s="60"/>
      <c r="T54" s="60"/>
      <c r="U54" s="60"/>
      <c r="V54" s="60"/>
      <c r="W54" s="60"/>
      <c r="X54" s="60"/>
    </row>
    <row r="55" spans="1:24" x14ac:dyDescent="0.2">
      <c r="A55" s="54" t="s">
        <v>19</v>
      </c>
      <c r="B55" s="40">
        <f>'Balance Sheets'!B8</f>
        <v>7824</v>
      </c>
      <c r="C55" s="40">
        <f>'Balance Sheets'!C8</f>
        <v>65378</v>
      </c>
      <c r="D55" s="40">
        <f>'Balance Sheets'!D8</f>
        <v>72855</v>
      </c>
      <c r="E55" s="40">
        <f>'Balance Sheets'!E8</f>
        <v>82584</v>
      </c>
      <c r="F55" s="46">
        <f>E55</f>
        <v>82584</v>
      </c>
      <c r="G55" s="40">
        <f>'Balance Sheets'!F8</f>
        <v>101664</v>
      </c>
      <c r="H55" s="40">
        <f>'Balance Sheets'!G8</f>
        <v>110324</v>
      </c>
      <c r="I55" s="40">
        <f>'Balance Sheets'!H8</f>
        <v>116803</v>
      </c>
      <c r="J55" s="40">
        <f>'Balance Sheets'!I8</f>
        <v>120457</v>
      </c>
      <c r="K55" s="46">
        <f>J55</f>
        <v>120457</v>
      </c>
      <c r="L55" s="40">
        <f>'Balance Sheets'!J8</f>
        <v>102340</v>
      </c>
      <c r="M55" s="40">
        <f>'Balance Sheets'!K8</f>
        <v>125719</v>
      </c>
      <c r="N55" s="40">
        <f>'Balance Sheets'!L8</f>
        <v>137535</v>
      </c>
      <c r="O55" s="40">
        <f>'Balance Sheets'!M8</f>
        <v>76639</v>
      </c>
      <c r="P55" s="46">
        <f>O55</f>
        <v>76639</v>
      </c>
      <c r="Q55" s="40">
        <v>104787</v>
      </c>
      <c r="R55" s="40">
        <v>97970</v>
      </c>
      <c r="S55" s="40">
        <v>94747</v>
      </c>
      <c r="T55" s="40">
        <v>83310</v>
      </c>
      <c r="U55" s="46">
        <f>T55</f>
        <v>83310</v>
      </c>
      <c r="V55" s="40">
        <v>79484</v>
      </c>
      <c r="W55" s="40">
        <v>80987</v>
      </c>
      <c r="X55" s="40">
        <v>148919</v>
      </c>
    </row>
    <row r="56" spans="1:24" x14ac:dyDescent="0.2">
      <c r="A56" s="54" t="s">
        <v>166</v>
      </c>
      <c r="B56" s="5">
        <v>0</v>
      </c>
      <c r="C56" s="5">
        <v>0</v>
      </c>
      <c r="D56" s="5">
        <v>0</v>
      </c>
      <c r="E56" s="5">
        <v>0</v>
      </c>
      <c r="F56" s="25">
        <v>0</v>
      </c>
      <c r="G56" s="5">
        <v>0</v>
      </c>
      <c r="H56" s="5">
        <v>0</v>
      </c>
      <c r="I56" s="5">
        <v>0</v>
      </c>
      <c r="J56" s="5">
        <v>0</v>
      </c>
      <c r="K56" s="25">
        <v>0</v>
      </c>
      <c r="L56" s="5">
        <v>0</v>
      </c>
      <c r="M56" s="5">
        <v>0</v>
      </c>
      <c r="N56" s="5">
        <v>3708</v>
      </c>
      <c r="O56" s="5">
        <v>2802</v>
      </c>
      <c r="P56" s="25">
        <f>O56</f>
        <v>2802</v>
      </c>
      <c r="Q56" s="5">
        <v>3593</v>
      </c>
      <c r="R56" s="5">
        <v>0</v>
      </c>
      <c r="S56" s="5">
        <v>1043</v>
      </c>
      <c r="T56" s="5">
        <v>944</v>
      </c>
      <c r="U56" s="25">
        <f>T56</f>
        <v>944</v>
      </c>
      <c r="V56" s="5">
        <v>2336</v>
      </c>
      <c r="W56" s="5">
        <v>1947</v>
      </c>
      <c r="X56" s="5">
        <v>1085</v>
      </c>
    </row>
    <row r="57" spans="1:24" ht="13.5" thickBot="1" x14ac:dyDescent="0.25">
      <c r="A57" s="63" t="s">
        <v>65</v>
      </c>
      <c r="B57" s="55">
        <f t="shared" ref="B57:N57" si="50">B55+B56</f>
        <v>7824</v>
      </c>
      <c r="C57" s="55">
        <f t="shared" si="50"/>
        <v>65378</v>
      </c>
      <c r="D57" s="55">
        <f t="shared" si="50"/>
        <v>72855</v>
      </c>
      <c r="E57" s="55">
        <f t="shared" si="50"/>
        <v>82584</v>
      </c>
      <c r="F57" s="59">
        <f t="shared" si="50"/>
        <v>82584</v>
      </c>
      <c r="G57" s="55">
        <f t="shared" si="50"/>
        <v>101664</v>
      </c>
      <c r="H57" s="55">
        <f t="shared" si="50"/>
        <v>110324</v>
      </c>
      <c r="I57" s="55">
        <f t="shared" si="50"/>
        <v>116803</v>
      </c>
      <c r="J57" s="55">
        <f t="shared" si="50"/>
        <v>120457</v>
      </c>
      <c r="K57" s="59">
        <f t="shared" si="50"/>
        <v>120457</v>
      </c>
      <c r="L57" s="55">
        <f t="shared" si="50"/>
        <v>102340</v>
      </c>
      <c r="M57" s="55">
        <f t="shared" si="50"/>
        <v>125719</v>
      </c>
      <c r="N57" s="55">
        <f t="shared" si="50"/>
        <v>141243</v>
      </c>
      <c r="O57" s="55">
        <f>O55+O56</f>
        <v>79441</v>
      </c>
      <c r="P57" s="59">
        <f t="shared" ref="P57:Q57" si="51">P55+P56</f>
        <v>79441</v>
      </c>
      <c r="Q57" s="55">
        <f t="shared" si="51"/>
        <v>108380</v>
      </c>
      <c r="R57" s="55">
        <f t="shared" ref="R57:S57" si="52">R55+R56</f>
        <v>97970</v>
      </c>
      <c r="S57" s="55">
        <f t="shared" si="52"/>
        <v>95790</v>
      </c>
      <c r="T57" s="55">
        <f t="shared" ref="T57:U57" si="53">T55+T56</f>
        <v>84254</v>
      </c>
      <c r="U57" s="59">
        <f t="shared" si="53"/>
        <v>84254</v>
      </c>
      <c r="V57" s="55">
        <f t="shared" ref="V57:W57" si="54">V55+V56</f>
        <v>81820</v>
      </c>
      <c r="W57" s="55">
        <f t="shared" si="54"/>
        <v>82934</v>
      </c>
      <c r="X57" s="55">
        <f t="shared" ref="X57" si="55">X55+X56</f>
        <v>150004</v>
      </c>
    </row>
    <row r="58" spans="1:24" ht="13.5" thickTop="1" x14ac:dyDescent="0.2">
      <c r="A58" s="39"/>
      <c r="B58" s="3"/>
      <c r="C58" s="3"/>
      <c r="D58" s="3"/>
      <c r="E58" s="3"/>
      <c r="F58" s="24"/>
      <c r="G58" s="3"/>
      <c r="H58" s="3"/>
      <c r="I58" s="3"/>
      <c r="J58" s="3"/>
      <c r="K58" s="24"/>
      <c r="L58" s="3"/>
      <c r="M58" s="3"/>
      <c r="N58" s="3"/>
      <c r="O58" s="3"/>
      <c r="P58" s="24"/>
      <c r="Q58" s="3"/>
      <c r="R58" s="3"/>
      <c r="S58" s="3"/>
      <c r="T58" s="3"/>
      <c r="U58" s="24"/>
      <c r="V58" s="3"/>
      <c r="W58" s="3"/>
      <c r="X58" s="3"/>
    </row>
    <row r="59" spans="1:24" x14ac:dyDescent="0.2">
      <c r="A59" s="53" t="s">
        <v>109</v>
      </c>
      <c r="B59" s="62"/>
      <c r="C59" s="62"/>
      <c r="D59" s="62"/>
      <c r="E59" s="62"/>
      <c r="F59" s="61"/>
      <c r="G59" s="62"/>
      <c r="H59" s="62"/>
      <c r="I59" s="62"/>
      <c r="J59" s="62"/>
      <c r="K59" s="61"/>
      <c r="L59" s="62"/>
      <c r="M59" s="62"/>
      <c r="N59" s="62"/>
      <c r="O59" s="62"/>
      <c r="P59" s="61"/>
      <c r="Q59" s="62"/>
      <c r="R59" s="62"/>
      <c r="S59" s="62"/>
      <c r="T59" s="62"/>
      <c r="U59" s="61"/>
      <c r="V59" s="62"/>
      <c r="W59" s="62"/>
      <c r="X59" s="62"/>
    </row>
    <row r="60" spans="1:24" x14ac:dyDescent="0.2">
      <c r="A60" s="54" t="s">
        <v>50</v>
      </c>
      <c r="B60" s="13">
        <f t="shared" ref="B60:P60" si="56">B22</f>
        <v>28893</v>
      </c>
      <c r="C60" s="13">
        <f t="shared" si="56"/>
        <v>16768</v>
      </c>
      <c r="D60" s="13">
        <f t="shared" si="56"/>
        <v>28729</v>
      </c>
      <c r="E60" s="13">
        <f t="shared" si="56"/>
        <v>27727</v>
      </c>
      <c r="F60" s="31">
        <f t="shared" si="56"/>
        <v>102117</v>
      </c>
      <c r="G60" s="13">
        <f t="shared" si="56"/>
        <v>41949</v>
      </c>
      <c r="H60" s="13">
        <f t="shared" si="56"/>
        <v>37434</v>
      </c>
      <c r="I60" s="13">
        <f t="shared" si="56"/>
        <v>49962</v>
      </c>
      <c r="J60" s="13">
        <f t="shared" si="56"/>
        <v>33314</v>
      </c>
      <c r="K60" s="31">
        <f t="shared" si="56"/>
        <v>162659</v>
      </c>
      <c r="L60" s="13">
        <f t="shared" si="56"/>
        <v>34914</v>
      </c>
      <c r="M60" s="13">
        <f t="shared" si="56"/>
        <v>60441</v>
      </c>
      <c r="N60" s="13">
        <f t="shared" si="56"/>
        <v>53013</v>
      </c>
      <c r="O60" s="13">
        <f t="shared" si="56"/>
        <v>30526</v>
      </c>
      <c r="P60" s="31">
        <f t="shared" si="56"/>
        <v>178894</v>
      </c>
      <c r="Q60" s="13">
        <f t="shared" ref="Q60" si="57">Q22</f>
        <v>19067</v>
      </c>
      <c r="R60" s="13">
        <f>R22</f>
        <v>48454</v>
      </c>
      <c r="S60" s="13">
        <f t="shared" ref="S60" si="58">S22</f>
        <v>37906</v>
      </c>
      <c r="T60" s="13">
        <f>T22</f>
        <v>33641</v>
      </c>
      <c r="U60" s="31">
        <f>U22</f>
        <v>139068</v>
      </c>
      <c r="V60" s="13">
        <f>V22</f>
        <v>48138</v>
      </c>
      <c r="W60" s="13">
        <f>W22</f>
        <v>39805</v>
      </c>
      <c r="X60" s="13">
        <f>X22</f>
        <v>102902</v>
      </c>
    </row>
    <row r="61" spans="1:24" x14ac:dyDescent="0.2">
      <c r="A61" s="54" t="s">
        <v>175</v>
      </c>
      <c r="B61" s="5">
        <f t="shared" ref="B61:P61" si="59">B25</f>
        <v>-932</v>
      </c>
      <c r="C61" s="5">
        <f t="shared" si="59"/>
        <v>-2556</v>
      </c>
      <c r="D61" s="5">
        <f t="shared" si="59"/>
        <v>-774</v>
      </c>
      <c r="E61" s="5">
        <f t="shared" si="59"/>
        <v>-1604</v>
      </c>
      <c r="F61" s="25">
        <f t="shared" si="59"/>
        <v>-5866</v>
      </c>
      <c r="G61" s="5">
        <f t="shared" si="59"/>
        <v>-3636</v>
      </c>
      <c r="H61" s="5">
        <f t="shared" si="59"/>
        <v>-2303</v>
      </c>
      <c r="I61" s="5">
        <f t="shared" si="59"/>
        <v>-3506</v>
      </c>
      <c r="J61" s="5">
        <f t="shared" si="59"/>
        <v>-3410</v>
      </c>
      <c r="K61" s="25">
        <f t="shared" si="59"/>
        <v>-12855</v>
      </c>
      <c r="L61" s="5">
        <f t="shared" si="59"/>
        <v>-3632</v>
      </c>
      <c r="M61" s="5">
        <f t="shared" si="59"/>
        <v>-7741</v>
      </c>
      <c r="N61" s="5">
        <f t="shared" si="59"/>
        <v>-7123</v>
      </c>
      <c r="O61" s="5">
        <f t="shared" si="59"/>
        <v>-11384</v>
      </c>
      <c r="P61" s="25">
        <f t="shared" si="59"/>
        <v>-29880</v>
      </c>
      <c r="Q61" s="5">
        <f t="shared" ref="Q61:R61" si="60">Q25</f>
        <v>-3760</v>
      </c>
      <c r="R61" s="5">
        <f t="shared" si="60"/>
        <v>-11742</v>
      </c>
      <c r="S61" s="5">
        <f>S25</f>
        <v>-10094</v>
      </c>
      <c r="T61" s="5">
        <f>T25</f>
        <v>-13557</v>
      </c>
      <c r="U61" s="25">
        <f t="shared" ref="U61" si="61">U25</f>
        <v>-39153</v>
      </c>
      <c r="V61" s="5">
        <f>V25</f>
        <v>-5039</v>
      </c>
      <c r="W61" s="5">
        <f>W25</f>
        <v>-5256</v>
      </c>
      <c r="X61" s="5">
        <f>X25</f>
        <v>-4371</v>
      </c>
    </row>
    <row r="62" spans="1:24" x14ac:dyDescent="0.2">
      <c r="A62" s="54" t="s">
        <v>52</v>
      </c>
      <c r="B62" s="5">
        <f t="shared" ref="B62:P62" si="62">B26</f>
        <v>-2242</v>
      </c>
      <c r="C62" s="5">
        <f t="shared" si="62"/>
        <v>-3302</v>
      </c>
      <c r="D62" s="5">
        <f t="shared" si="62"/>
        <v>-4877</v>
      </c>
      <c r="E62" s="5">
        <f t="shared" si="62"/>
        <v>-3001</v>
      </c>
      <c r="F62" s="25">
        <f t="shared" si="62"/>
        <v>-13422</v>
      </c>
      <c r="G62" s="5">
        <f t="shared" si="62"/>
        <v>-2645</v>
      </c>
      <c r="H62" s="5">
        <f t="shared" si="62"/>
        <v>-3147</v>
      </c>
      <c r="I62" s="5">
        <f t="shared" si="62"/>
        <v>-5785</v>
      </c>
      <c r="J62" s="5">
        <f t="shared" si="62"/>
        <v>-3630</v>
      </c>
      <c r="K62" s="25">
        <f t="shared" si="62"/>
        <v>-15207</v>
      </c>
      <c r="L62" s="5">
        <f t="shared" si="62"/>
        <v>-2860</v>
      </c>
      <c r="M62" s="5">
        <f t="shared" si="62"/>
        <v>-4259</v>
      </c>
      <c r="N62" s="5">
        <f t="shared" si="62"/>
        <v>-5345</v>
      </c>
      <c r="O62" s="5">
        <f t="shared" si="62"/>
        <v>-4914</v>
      </c>
      <c r="P62" s="25">
        <f t="shared" si="62"/>
        <v>-17378</v>
      </c>
      <c r="Q62" s="5">
        <f t="shared" ref="Q62:R62" si="63">Q26</f>
        <v>-4242</v>
      </c>
      <c r="R62" s="5">
        <f t="shared" si="63"/>
        <v>-3948</v>
      </c>
      <c r="S62" s="5">
        <f t="shared" ref="S62:U62" si="64">S26</f>
        <v>-5079</v>
      </c>
      <c r="T62" s="5">
        <f t="shared" si="64"/>
        <v>-4426</v>
      </c>
      <c r="U62" s="25">
        <f t="shared" si="64"/>
        <v>-17695</v>
      </c>
      <c r="V62" s="5">
        <f t="shared" ref="V62" si="65">V26</f>
        <v>-4310</v>
      </c>
      <c r="W62" s="5">
        <f>W26</f>
        <v>-3466</v>
      </c>
      <c r="X62" s="5">
        <f>X26</f>
        <v>-4569</v>
      </c>
    </row>
    <row r="63" spans="1:24" x14ac:dyDescent="0.2">
      <c r="A63" s="54" t="s">
        <v>53</v>
      </c>
      <c r="B63" s="6">
        <f t="shared" ref="B63:P63" si="66">B27</f>
        <v>0</v>
      </c>
      <c r="C63" s="6">
        <f t="shared" si="66"/>
        <v>-1161</v>
      </c>
      <c r="D63" s="6">
        <f t="shared" si="66"/>
        <v>-19</v>
      </c>
      <c r="E63" s="6">
        <f t="shared" si="66"/>
        <v>-64</v>
      </c>
      <c r="F63" s="26">
        <f t="shared" si="66"/>
        <v>-1244</v>
      </c>
      <c r="G63" s="6">
        <f t="shared" si="66"/>
        <v>0</v>
      </c>
      <c r="H63" s="6">
        <f t="shared" si="66"/>
        <v>-3132</v>
      </c>
      <c r="I63" s="6">
        <f t="shared" si="66"/>
        <v>-18901</v>
      </c>
      <c r="J63" s="6">
        <f t="shared" si="66"/>
        <v>-10</v>
      </c>
      <c r="K63" s="26">
        <f t="shared" si="66"/>
        <v>-22043</v>
      </c>
      <c r="L63" s="6">
        <f t="shared" si="66"/>
        <v>0</v>
      </c>
      <c r="M63" s="6">
        <f t="shared" si="66"/>
        <v>-163</v>
      </c>
      <c r="N63" s="6">
        <f t="shared" si="66"/>
        <v>-3</v>
      </c>
      <c r="O63" s="6">
        <f t="shared" si="66"/>
        <v>-4711</v>
      </c>
      <c r="P63" s="26">
        <f t="shared" si="66"/>
        <v>-4877</v>
      </c>
      <c r="Q63" s="6">
        <f t="shared" ref="Q63:R63" si="67">Q27</f>
        <v>0</v>
      </c>
      <c r="R63" s="6">
        <f t="shared" si="67"/>
        <v>-278</v>
      </c>
      <c r="S63" s="6">
        <f t="shared" ref="S63:U63" si="68">S27</f>
        <v>0</v>
      </c>
      <c r="T63" s="6">
        <f t="shared" si="68"/>
        <v>-348</v>
      </c>
      <c r="U63" s="26">
        <f t="shared" si="68"/>
        <v>-626</v>
      </c>
      <c r="V63" s="6">
        <f t="shared" ref="V63:W63" si="69">V27</f>
        <v>-4190</v>
      </c>
      <c r="W63" s="6">
        <f t="shared" si="69"/>
        <v>-540</v>
      </c>
      <c r="X63" s="6">
        <f>X27</f>
        <v>-8</v>
      </c>
    </row>
    <row r="64" spans="1:24" ht="15" thickBot="1" x14ac:dyDescent="0.25">
      <c r="A64" s="63" t="s">
        <v>191</v>
      </c>
      <c r="B64" s="55">
        <f t="shared" ref="B64:N64" si="70">SUM(B60:B63)</f>
        <v>25719</v>
      </c>
      <c r="C64" s="55">
        <f t="shared" si="70"/>
        <v>9749</v>
      </c>
      <c r="D64" s="55">
        <f t="shared" si="70"/>
        <v>23059</v>
      </c>
      <c r="E64" s="55">
        <f t="shared" si="70"/>
        <v>23058</v>
      </c>
      <c r="F64" s="59">
        <f t="shared" si="70"/>
        <v>81585</v>
      </c>
      <c r="G64" s="55">
        <f t="shared" si="70"/>
        <v>35668</v>
      </c>
      <c r="H64" s="55">
        <f t="shared" si="70"/>
        <v>28852</v>
      </c>
      <c r="I64" s="55">
        <f t="shared" si="70"/>
        <v>21770</v>
      </c>
      <c r="J64" s="55">
        <f t="shared" si="70"/>
        <v>26264</v>
      </c>
      <c r="K64" s="59">
        <f t="shared" si="70"/>
        <v>112554</v>
      </c>
      <c r="L64" s="55">
        <f t="shared" si="70"/>
        <v>28422</v>
      </c>
      <c r="M64" s="55">
        <f t="shared" si="70"/>
        <v>48278</v>
      </c>
      <c r="N64" s="55">
        <f t="shared" si="70"/>
        <v>40542</v>
      </c>
      <c r="O64" s="55">
        <f>SUM(O60:O63)</f>
        <v>9517</v>
      </c>
      <c r="P64" s="59">
        <f>SUM(P60:P63)</f>
        <v>126759</v>
      </c>
      <c r="Q64" s="55">
        <f t="shared" ref="Q64:R64" si="71">SUM(Q60:Q63)</f>
        <v>11065</v>
      </c>
      <c r="R64" s="55">
        <f t="shared" si="71"/>
        <v>32486</v>
      </c>
      <c r="S64" s="55">
        <f t="shared" ref="S64" si="72">SUM(S60:S63)</f>
        <v>22733</v>
      </c>
      <c r="T64" s="55">
        <f>SUM(T60:T63)</f>
        <v>15310</v>
      </c>
      <c r="U64" s="59">
        <f>SUM(U60:U63)</f>
        <v>81594</v>
      </c>
      <c r="V64" s="55">
        <f>SUM(V60:V63)</f>
        <v>34599</v>
      </c>
      <c r="W64" s="55">
        <f>SUM(W60:W63)</f>
        <v>30543</v>
      </c>
      <c r="X64" s="55">
        <f>SUM(X60:X63)</f>
        <v>93954</v>
      </c>
    </row>
    <row r="65" spans="1:24" ht="14.25" thickTop="1" x14ac:dyDescent="0.2">
      <c r="A65" s="83" t="s">
        <v>192</v>
      </c>
      <c r="B65" s="69"/>
      <c r="C65" s="69"/>
      <c r="D65" s="69"/>
      <c r="E65" s="69"/>
      <c r="F65" s="78"/>
      <c r="G65" s="69"/>
      <c r="H65" s="69"/>
      <c r="I65" s="69"/>
      <c r="J65" s="69"/>
      <c r="K65" s="78"/>
      <c r="L65" s="69"/>
      <c r="M65" s="69"/>
      <c r="N65" s="69"/>
      <c r="O65" s="69"/>
      <c r="P65" s="78"/>
      <c r="Q65" s="69"/>
      <c r="R65" s="69"/>
      <c r="S65" s="69"/>
      <c r="T65" s="69"/>
      <c r="U65" s="78"/>
      <c r="V65" s="69"/>
      <c r="W65" s="69"/>
      <c r="X65" s="69"/>
    </row>
    <row r="67" spans="1:24" x14ac:dyDescent="0.2">
      <c r="S67" s="100"/>
      <c r="T67" s="100"/>
      <c r="V67" s="100"/>
      <c r="W67" s="100"/>
      <c r="X67" s="100"/>
    </row>
  </sheetData>
  <conditionalFormatting sqref="A20:J20 A29:J29 A58:J63 O61:P63 A64 B48:P48 O40:P41 A7:O10 O53:P57 B54:J60 G54:O63 A53:E57 B13:O20 A13:A19 A31:O41 B43:O53 A43:A52 A21:A28 B22:O29 B64:P65 Q43:Q65">
    <cfRule type="expression" dxfId="185" priority="218" stopIfTrue="1">
      <formula>MOD(ROW(),2)=1</formula>
    </cfRule>
  </conditionalFormatting>
  <conditionalFormatting sqref="K22:O28 K7:O9 K43:O52 K31:O36">
    <cfRule type="expression" dxfId="184" priority="178" stopIfTrue="1">
      <formula>MOD(ROW(),2)=1</formula>
    </cfRule>
  </conditionalFormatting>
  <conditionalFormatting sqref="K10:O10 K13:O20">
    <cfRule type="expression" dxfId="183" priority="177" stopIfTrue="1">
      <formula>MOD(ROW(),2)=1</formula>
    </cfRule>
  </conditionalFormatting>
  <conditionalFormatting sqref="P22:P28 P7:P9 P43:P52 P31:P36 F49:P49">
    <cfRule type="expression" dxfId="182" priority="176" stopIfTrue="1">
      <formula>MOD(ROW(),2)=1</formula>
    </cfRule>
  </conditionalFormatting>
  <conditionalFormatting sqref="P10 P13:P20">
    <cfRule type="expression" dxfId="181" priority="175" stopIfTrue="1">
      <formula>MOD(ROW(),2)=1</formula>
    </cfRule>
  </conditionalFormatting>
  <conditionalFormatting sqref="K37:O39">
    <cfRule type="expression" dxfId="180" priority="168" stopIfTrue="1">
      <formula>MOD(ROW(),2)=1</formula>
    </cfRule>
  </conditionalFormatting>
  <conditionalFormatting sqref="P37:P39">
    <cfRule type="expression" dxfId="179" priority="167" stopIfTrue="1">
      <formula>MOD(ROW(),2)=1</formula>
    </cfRule>
  </conditionalFormatting>
  <conditionalFormatting sqref="K29:O29">
    <cfRule type="expression" dxfId="178" priority="165" stopIfTrue="1">
      <formula>MOD(ROW(),2)=1</formula>
    </cfRule>
  </conditionalFormatting>
  <conditionalFormatting sqref="P29">
    <cfRule type="expression" dxfId="177" priority="164" stopIfTrue="1">
      <formula>MOD(ROW(),2)=1</formula>
    </cfRule>
  </conditionalFormatting>
  <conditionalFormatting sqref="O31">
    <cfRule type="expression" dxfId="176" priority="163" stopIfTrue="1">
      <formula>MOD(ROW(),2)=1</formula>
    </cfRule>
  </conditionalFormatting>
  <conditionalFormatting sqref="K58:O60">
    <cfRule type="expression" dxfId="175" priority="161" stopIfTrue="1">
      <formula>MOD(ROW(),2)=1</formula>
    </cfRule>
  </conditionalFormatting>
  <conditionalFormatting sqref="P58:P60">
    <cfRule type="expression" dxfId="174" priority="160" stopIfTrue="1">
      <formula>MOD(ROW(),2)=1</formula>
    </cfRule>
  </conditionalFormatting>
  <conditionalFormatting sqref="A65">
    <cfRule type="expression" dxfId="173" priority="149" stopIfTrue="1">
      <formula>MOD(ROW(),2)=1</formula>
    </cfRule>
  </conditionalFormatting>
  <conditionalFormatting sqref="Q7:Q10 Q13:Q20 Q31:Q41 Q22:Q29">
    <cfRule type="expression" dxfId="172" priority="144" stopIfTrue="1">
      <formula>MOD(ROW(),2)=1</formula>
    </cfRule>
  </conditionalFormatting>
  <conditionalFormatting sqref="Q22:Q28 Q7:Q9 Q43:Q52 Q31:Q36">
    <cfRule type="expression" dxfId="171" priority="143" stopIfTrue="1">
      <formula>MOD(ROW(),2)=1</formula>
    </cfRule>
  </conditionalFormatting>
  <conditionalFormatting sqref="Q10 Q13:Q20">
    <cfRule type="expression" dxfId="170" priority="142" stopIfTrue="1">
      <formula>MOD(ROW(),2)=1</formula>
    </cfRule>
  </conditionalFormatting>
  <conditionalFormatting sqref="Q49">
    <cfRule type="expression" dxfId="169" priority="141" stopIfTrue="1">
      <formula>MOD(ROW(),2)=1</formula>
    </cfRule>
  </conditionalFormatting>
  <conditionalFormatting sqref="K11:O11">
    <cfRule type="expression" dxfId="168" priority="135" stopIfTrue="1">
      <formula>MOD(ROW(),2)=1</formula>
    </cfRule>
  </conditionalFormatting>
  <conditionalFormatting sqref="Q37:Q39">
    <cfRule type="expression" dxfId="167" priority="139" stopIfTrue="1">
      <formula>MOD(ROW(),2)=1</formula>
    </cfRule>
  </conditionalFormatting>
  <conditionalFormatting sqref="Q29">
    <cfRule type="expression" dxfId="166" priority="138" stopIfTrue="1">
      <formula>MOD(ROW(),2)=1</formula>
    </cfRule>
  </conditionalFormatting>
  <conditionalFormatting sqref="Q58:Q60">
    <cfRule type="expression" dxfId="165" priority="137" stopIfTrue="1">
      <formula>MOD(ROW(),2)=1</formula>
    </cfRule>
  </conditionalFormatting>
  <conditionalFormatting sqref="A11:O11">
    <cfRule type="expression" dxfId="164" priority="136" stopIfTrue="1">
      <formula>MOD(ROW(),2)=1</formula>
    </cfRule>
  </conditionalFormatting>
  <conditionalFormatting sqref="P11">
    <cfRule type="expression" dxfId="163" priority="134" stopIfTrue="1">
      <formula>MOD(ROW(),2)=1</formula>
    </cfRule>
  </conditionalFormatting>
  <conditionalFormatting sqref="Q11">
    <cfRule type="expression" dxfId="162" priority="133" stopIfTrue="1">
      <formula>MOD(ROW(),2)=1</formula>
    </cfRule>
  </conditionalFormatting>
  <conditionalFormatting sqref="Q11">
    <cfRule type="expression" dxfId="161" priority="132" stopIfTrue="1">
      <formula>MOD(ROW(),2)=1</formula>
    </cfRule>
  </conditionalFormatting>
  <conditionalFormatting sqref="A12:O12">
    <cfRule type="expression" dxfId="160" priority="131" stopIfTrue="1">
      <formula>MOD(ROW(),2)=1</formula>
    </cfRule>
  </conditionalFormatting>
  <conditionalFormatting sqref="K12:O12">
    <cfRule type="expression" dxfId="159" priority="130" stopIfTrue="1">
      <formula>MOD(ROW(),2)=1</formula>
    </cfRule>
  </conditionalFormatting>
  <conditionalFormatting sqref="P12">
    <cfRule type="expression" dxfId="158" priority="129" stopIfTrue="1">
      <formula>MOD(ROW(),2)=1</formula>
    </cfRule>
  </conditionalFormatting>
  <conditionalFormatting sqref="Q12">
    <cfRule type="expression" dxfId="157" priority="128" stopIfTrue="1">
      <formula>MOD(ROW(),2)=1</formula>
    </cfRule>
  </conditionalFormatting>
  <conditionalFormatting sqref="Q12">
    <cfRule type="expression" dxfId="156" priority="127" stopIfTrue="1">
      <formula>MOD(ROW(),2)=1</formula>
    </cfRule>
  </conditionalFormatting>
  <conditionalFormatting sqref="A30:O30">
    <cfRule type="expression" dxfId="155" priority="126" stopIfTrue="1">
      <formula>MOD(ROW(),2)=1</formula>
    </cfRule>
  </conditionalFormatting>
  <conditionalFormatting sqref="K30:O30">
    <cfRule type="expression" dxfId="154" priority="125" stopIfTrue="1">
      <formula>MOD(ROW(),2)=1</formula>
    </cfRule>
  </conditionalFormatting>
  <conditionalFormatting sqref="P30">
    <cfRule type="expression" dxfId="153" priority="124" stopIfTrue="1">
      <formula>MOD(ROW(),2)=1</formula>
    </cfRule>
  </conditionalFormatting>
  <conditionalFormatting sqref="Q30">
    <cfRule type="expression" dxfId="152" priority="123" stopIfTrue="1">
      <formula>MOD(ROW(),2)=1</formula>
    </cfRule>
  </conditionalFormatting>
  <conditionalFormatting sqref="Q30">
    <cfRule type="expression" dxfId="151" priority="122" stopIfTrue="1">
      <formula>MOD(ROW(),2)=1</formula>
    </cfRule>
  </conditionalFormatting>
  <conditionalFormatting sqref="A42:P42">
    <cfRule type="expression" dxfId="150" priority="121" stopIfTrue="1">
      <formula>MOD(ROW(),2)=1</formula>
    </cfRule>
  </conditionalFormatting>
  <conditionalFormatting sqref="Q42">
    <cfRule type="expression" dxfId="149" priority="119" stopIfTrue="1">
      <formula>MOD(ROW(),2)=1</formula>
    </cfRule>
  </conditionalFormatting>
  <conditionalFormatting sqref="B21:O21">
    <cfRule type="expression" dxfId="148" priority="118" stopIfTrue="1">
      <formula>MOD(ROW(),2)=1</formula>
    </cfRule>
  </conditionalFormatting>
  <conditionalFormatting sqref="K21:O21">
    <cfRule type="expression" dxfId="147" priority="117" stopIfTrue="1">
      <formula>MOD(ROW(),2)=1</formula>
    </cfRule>
  </conditionalFormatting>
  <conditionalFormatting sqref="P21">
    <cfRule type="expression" dxfId="146" priority="116" stopIfTrue="1">
      <formula>MOD(ROW(),2)=1</formula>
    </cfRule>
  </conditionalFormatting>
  <conditionalFormatting sqref="Q21">
    <cfRule type="expression" dxfId="145" priority="115" stopIfTrue="1">
      <formula>MOD(ROW(),2)=1</formula>
    </cfRule>
  </conditionalFormatting>
  <conditionalFormatting sqref="Q21">
    <cfRule type="expression" dxfId="144" priority="114" stopIfTrue="1">
      <formula>MOD(ROW(),2)=1</formula>
    </cfRule>
  </conditionalFormatting>
  <conditionalFormatting sqref="R43:R65">
    <cfRule type="expression" dxfId="143" priority="113" stopIfTrue="1">
      <formula>MOD(ROW(),2)=1</formula>
    </cfRule>
  </conditionalFormatting>
  <conditionalFormatting sqref="R7:R10 R13:R20 R31:R41 R22:R29">
    <cfRule type="expression" dxfId="142" priority="112" stopIfTrue="1">
      <formula>MOD(ROW(),2)=1</formula>
    </cfRule>
  </conditionalFormatting>
  <conditionalFormatting sqref="R22:R28 R7:R9 R43:R52 R31:R36">
    <cfRule type="expression" dxfId="141" priority="111" stopIfTrue="1">
      <formula>MOD(ROW(),2)=1</formula>
    </cfRule>
  </conditionalFormatting>
  <conditionalFormatting sqref="R10 R13:R20">
    <cfRule type="expression" dxfId="140" priority="110" stopIfTrue="1">
      <formula>MOD(ROW(),2)=1</formula>
    </cfRule>
  </conditionalFormatting>
  <conditionalFormatting sqref="R49">
    <cfRule type="expression" dxfId="139" priority="109" stopIfTrue="1">
      <formula>MOD(ROW(),2)=1</formula>
    </cfRule>
  </conditionalFormatting>
  <conditionalFormatting sqref="R37:R39">
    <cfRule type="expression" dxfId="138" priority="108" stopIfTrue="1">
      <formula>MOD(ROW(),2)=1</formula>
    </cfRule>
  </conditionalFormatting>
  <conditionalFormatting sqref="R29">
    <cfRule type="expression" dxfId="137" priority="107" stopIfTrue="1">
      <formula>MOD(ROW(),2)=1</formula>
    </cfRule>
  </conditionalFormatting>
  <conditionalFormatting sqref="R58:R60">
    <cfRule type="expression" dxfId="136" priority="106" stopIfTrue="1">
      <formula>MOD(ROW(),2)=1</formula>
    </cfRule>
  </conditionalFormatting>
  <conditionalFormatting sqref="R11">
    <cfRule type="expression" dxfId="135" priority="105" stopIfTrue="1">
      <formula>MOD(ROW(),2)=1</formula>
    </cfRule>
  </conditionalFormatting>
  <conditionalFormatting sqref="R11">
    <cfRule type="expression" dxfId="134" priority="104" stopIfTrue="1">
      <formula>MOD(ROW(),2)=1</formula>
    </cfRule>
  </conditionalFormatting>
  <conditionalFormatting sqref="R12">
    <cfRule type="expression" dxfId="133" priority="103" stopIfTrue="1">
      <formula>MOD(ROW(),2)=1</formula>
    </cfRule>
  </conditionalFormatting>
  <conditionalFormatting sqref="R12">
    <cfRule type="expression" dxfId="132" priority="102" stopIfTrue="1">
      <formula>MOD(ROW(),2)=1</formula>
    </cfRule>
  </conditionalFormatting>
  <conditionalFormatting sqref="R30">
    <cfRule type="expression" dxfId="131" priority="101" stopIfTrue="1">
      <formula>MOD(ROW(),2)=1</formula>
    </cfRule>
  </conditionalFormatting>
  <conditionalFormatting sqref="R30">
    <cfRule type="expression" dxfId="130" priority="100" stopIfTrue="1">
      <formula>MOD(ROW(),2)=1</formula>
    </cfRule>
  </conditionalFormatting>
  <conditionalFormatting sqref="R42">
    <cfRule type="expression" dxfId="129" priority="99" stopIfTrue="1">
      <formula>MOD(ROW(),2)=1</formula>
    </cfRule>
  </conditionalFormatting>
  <conditionalFormatting sqref="R21">
    <cfRule type="expression" dxfId="128" priority="98" stopIfTrue="1">
      <formula>MOD(ROW(),2)=1</formula>
    </cfRule>
  </conditionalFormatting>
  <conditionalFormatting sqref="R21">
    <cfRule type="expression" dxfId="127" priority="97" stopIfTrue="1">
      <formula>MOD(ROW(),2)=1</formula>
    </cfRule>
  </conditionalFormatting>
  <conditionalFormatting sqref="S43:S65">
    <cfRule type="expression" dxfId="126" priority="96" stopIfTrue="1">
      <formula>MOD(ROW(),2)=1</formula>
    </cfRule>
  </conditionalFormatting>
  <conditionalFormatting sqref="S7:S10 S13:S20 S31:S41 S22:S29">
    <cfRule type="expression" dxfId="125" priority="95" stopIfTrue="1">
      <formula>MOD(ROW(),2)=1</formula>
    </cfRule>
  </conditionalFormatting>
  <conditionalFormatting sqref="S22:S28 S7:S9 S43:S52 S31:S36">
    <cfRule type="expression" dxfId="124" priority="94" stopIfTrue="1">
      <formula>MOD(ROW(),2)=1</formula>
    </cfRule>
  </conditionalFormatting>
  <conditionalFormatting sqref="S10 S13:S20">
    <cfRule type="expression" dxfId="123" priority="93" stopIfTrue="1">
      <formula>MOD(ROW(),2)=1</formula>
    </cfRule>
  </conditionalFormatting>
  <conditionalFormatting sqref="S49">
    <cfRule type="expression" dxfId="122" priority="92" stopIfTrue="1">
      <formula>MOD(ROW(),2)=1</formula>
    </cfRule>
  </conditionalFormatting>
  <conditionalFormatting sqref="S37:S39">
    <cfRule type="expression" dxfId="121" priority="91" stopIfTrue="1">
      <formula>MOD(ROW(),2)=1</formula>
    </cfRule>
  </conditionalFormatting>
  <conditionalFormatting sqref="S29">
    <cfRule type="expression" dxfId="120" priority="90" stopIfTrue="1">
      <formula>MOD(ROW(),2)=1</formula>
    </cfRule>
  </conditionalFormatting>
  <conditionalFormatting sqref="S58:S60">
    <cfRule type="expression" dxfId="119" priority="89" stopIfTrue="1">
      <formula>MOD(ROW(),2)=1</formula>
    </cfRule>
  </conditionalFormatting>
  <conditionalFormatting sqref="S11">
    <cfRule type="expression" dxfId="118" priority="88" stopIfTrue="1">
      <formula>MOD(ROW(),2)=1</formula>
    </cfRule>
  </conditionalFormatting>
  <conditionalFormatting sqref="S11">
    <cfRule type="expression" dxfId="117" priority="87" stopIfTrue="1">
      <formula>MOD(ROW(),2)=1</formula>
    </cfRule>
  </conditionalFormatting>
  <conditionalFormatting sqref="S12">
    <cfRule type="expression" dxfId="116" priority="86" stopIfTrue="1">
      <formula>MOD(ROW(),2)=1</formula>
    </cfRule>
  </conditionalFormatting>
  <conditionalFormatting sqref="S12">
    <cfRule type="expression" dxfId="115" priority="85" stopIfTrue="1">
      <formula>MOD(ROW(),2)=1</formula>
    </cfRule>
  </conditionalFormatting>
  <conditionalFormatting sqref="S30">
    <cfRule type="expression" dxfId="114" priority="84" stopIfTrue="1">
      <formula>MOD(ROW(),2)=1</formula>
    </cfRule>
  </conditionalFormatting>
  <conditionalFormatting sqref="S30">
    <cfRule type="expression" dxfId="113" priority="83" stopIfTrue="1">
      <formula>MOD(ROW(),2)=1</formula>
    </cfRule>
  </conditionalFormatting>
  <conditionalFormatting sqref="S42">
    <cfRule type="expression" dxfId="112" priority="82" stopIfTrue="1">
      <formula>MOD(ROW(),2)=1</formula>
    </cfRule>
  </conditionalFormatting>
  <conditionalFormatting sqref="S21">
    <cfRule type="expression" dxfId="111" priority="81" stopIfTrue="1">
      <formula>MOD(ROW(),2)=1</formula>
    </cfRule>
  </conditionalFormatting>
  <conditionalFormatting sqref="S21">
    <cfRule type="expression" dxfId="110" priority="80" stopIfTrue="1">
      <formula>MOD(ROW(),2)=1</formula>
    </cfRule>
  </conditionalFormatting>
  <conditionalFormatting sqref="T43:T65">
    <cfRule type="expression" dxfId="109" priority="79" stopIfTrue="1">
      <formula>MOD(ROW(),2)=1</formula>
    </cfRule>
  </conditionalFormatting>
  <conditionalFormatting sqref="T7:T10 T13:T20 T31:T41 T22:T29">
    <cfRule type="expression" dxfId="108" priority="78" stopIfTrue="1">
      <formula>MOD(ROW(),2)=1</formula>
    </cfRule>
  </conditionalFormatting>
  <conditionalFormatting sqref="T22:T28 T7:T9 T43:T52 T31:T36">
    <cfRule type="expression" dxfId="107" priority="77" stopIfTrue="1">
      <formula>MOD(ROW(),2)=1</formula>
    </cfRule>
  </conditionalFormatting>
  <conditionalFormatting sqref="T10 T13:T20">
    <cfRule type="expression" dxfId="106" priority="76" stopIfTrue="1">
      <formula>MOD(ROW(),2)=1</formula>
    </cfRule>
  </conditionalFormatting>
  <conditionalFormatting sqref="T49">
    <cfRule type="expression" dxfId="105" priority="75" stopIfTrue="1">
      <formula>MOD(ROW(),2)=1</formula>
    </cfRule>
  </conditionalFormatting>
  <conditionalFormatting sqref="T37:T39">
    <cfRule type="expression" dxfId="104" priority="74" stopIfTrue="1">
      <formula>MOD(ROW(),2)=1</formula>
    </cfRule>
  </conditionalFormatting>
  <conditionalFormatting sqref="T29">
    <cfRule type="expression" dxfId="103" priority="73" stopIfTrue="1">
      <formula>MOD(ROW(),2)=1</formula>
    </cfRule>
  </conditionalFormatting>
  <conditionalFormatting sqref="T58:T60">
    <cfRule type="expression" dxfId="102" priority="72" stopIfTrue="1">
      <formula>MOD(ROW(),2)=1</formula>
    </cfRule>
  </conditionalFormatting>
  <conditionalFormatting sqref="T11">
    <cfRule type="expression" dxfId="101" priority="71" stopIfTrue="1">
      <formula>MOD(ROW(),2)=1</formula>
    </cfRule>
  </conditionalFormatting>
  <conditionalFormatting sqref="T11">
    <cfRule type="expression" dxfId="100" priority="70" stopIfTrue="1">
      <formula>MOD(ROW(),2)=1</formula>
    </cfRule>
  </conditionalFormatting>
  <conditionalFormatting sqref="T12">
    <cfRule type="expression" dxfId="99" priority="69" stopIfTrue="1">
      <formula>MOD(ROW(),2)=1</formula>
    </cfRule>
  </conditionalFormatting>
  <conditionalFormatting sqref="T12">
    <cfRule type="expression" dxfId="98" priority="68" stopIfTrue="1">
      <formula>MOD(ROW(),2)=1</formula>
    </cfRule>
  </conditionalFormatting>
  <conditionalFormatting sqref="T30">
    <cfRule type="expression" dxfId="97" priority="67" stopIfTrue="1">
      <formula>MOD(ROW(),2)=1</formula>
    </cfRule>
  </conditionalFormatting>
  <conditionalFormatting sqref="T30">
    <cfRule type="expression" dxfId="96" priority="66" stopIfTrue="1">
      <formula>MOD(ROW(),2)=1</formula>
    </cfRule>
  </conditionalFormatting>
  <conditionalFormatting sqref="T42">
    <cfRule type="expression" dxfId="95" priority="65" stopIfTrue="1">
      <formula>MOD(ROW(),2)=1</formula>
    </cfRule>
  </conditionalFormatting>
  <conditionalFormatting sqref="T21">
    <cfRule type="expression" dxfId="94" priority="64" stopIfTrue="1">
      <formula>MOD(ROW(),2)=1</formula>
    </cfRule>
  </conditionalFormatting>
  <conditionalFormatting sqref="T21">
    <cfRule type="expression" dxfId="93" priority="63" stopIfTrue="1">
      <formula>MOD(ROW(),2)=1</formula>
    </cfRule>
  </conditionalFormatting>
  <conditionalFormatting sqref="U48 U40:U41 U53:U57 U61:U65">
    <cfRule type="expression" dxfId="92" priority="62" stopIfTrue="1">
      <formula>MOD(ROW(),2)=1</formula>
    </cfRule>
  </conditionalFormatting>
  <conditionalFormatting sqref="U22:U28 U7:U9 U43:U52 U31:U36">
    <cfRule type="expression" dxfId="91" priority="61" stopIfTrue="1">
      <formula>MOD(ROW(),2)=1</formula>
    </cfRule>
  </conditionalFormatting>
  <conditionalFormatting sqref="U10 U13:U20">
    <cfRule type="expression" dxfId="90" priority="60" stopIfTrue="1">
      <formula>MOD(ROW(),2)=1</formula>
    </cfRule>
  </conditionalFormatting>
  <conditionalFormatting sqref="U37:U39">
    <cfRule type="expression" dxfId="89" priority="59" stopIfTrue="1">
      <formula>MOD(ROW(),2)=1</formula>
    </cfRule>
  </conditionalFormatting>
  <conditionalFormatting sqref="U29">
    <cfRule type="expression" dxfId="88" priority="58" stopIfTrue="1">
      <formula>MOD(ROW(),2)=1</formula>
    </cfRule>
  </conditionalFormatting>
  <conditionalFormatting sqref="U58:U60">
    <cfRule type="expression" dxfId="87" priority="57" stopIfTrue="1">
      <formula>MOD(ROW(),2)=1</formula>
    </cfRule>
  </conditionalFormatting>
  <conditionalFormatting sqref="U11">
    <cfRule type="expression" dxfId="86" priority="56" stopIfTrue="1">
      <formula>MOD(ROW(),2)=1</formula>
    </cfRule>
  </conditionalFormatting>
  <conditionalFormatting sqref="U12">
    <cfRule type="expression" dxfId="85" priority="55" stopIfTrue="1">
      <formula>MOD(ROW(),2)=1</formula>
    </cfRule>
  </conditionalFormatting>
  <conditionalFormatting sqref="U30">
    <cfRule type="expression" dxfId="84" priority="54" stopIfTrue="1">
      <formula>MOD(ROW(),2)=1</formula>
    </cfRule>
  </conditionalFormatting>
  <conditionalFormatting sqref="U42">
    <cfRule type="expression" dxfId="83" priority="53" stopIfTrue="1">
      <formula>MOD(ROW(),2)=1</formula>
    </cfRule>
  </conditionalFormatting>
  <conditionalFormatting sqref="U21">
    <cfRule type="expression" dxfId="82" priority="52" stopIfTrue="1">
      <formula>MOD(ROW(),2)=1</formula>
    </cfRule>
  </conditionalFormatting>
  <conditionalFormatting sqref="V43:V65">
    <cfRule type="expression" dxfId="81" priority="51" stopIfTrue="1">
      <formula>MOD(ROW(),2)=1</formula>
    </cfRule>
  </conditionalFormatting>
  <conditionalFormatting sqref="V7:V10 V13:V20 V31:V41 V22:V29">
    <cfRule type="expression" dxfId="80" priority="50" stopIfTrue="1">
      <formula>MOD(ROW(),2)=1</formula>
    </cfRule>
  </conditionalFormatting>
  <conditionalFormatting sqref="V22:V28 V7:V9 V43:V52 V31:V36">
    <cfRule type="expression" dxfId="79" priority="49" stopIfTrue="1">
      <formula>MOD(ROW(),2)=1</formula>
    </cfRule>
  </conditionalFormatting>
  <conditionalFormatting sqref="V10 V13:V20">
    <cfRule type="expression" dxfId="78" priority="48" stopIfTrue="1">
      <formula>MOD(ROW(),2)=1</formula>
    </cfRule>
  </conditionalFormatting>
  <conditionalFormatting sqref="V49">
    <cfRule type="expression" dxfId="77" priority="47" stopIfTrue="1">
      <formula>MOD(ROW(),2)=1</formula>
    </cfRule>
  </conditionalFormatting>
  <conditionalFormatting sqref="V37:V39">
    <cfRule type="expression" dxfId="76" priority="46" stopIfTrue="1">
      <formula>MOD(ROW(),2)=1</formula>
    </cfRule>
  </conditionalFormatting>
  <conditionalFormatting sqref="V29">
    <cfRule type="expression" dxfId="75" priority="45" stopIfTrue="1">
      <formula>MOD(ROW(),2)=1</formula>
    </cfRule>
  </conditionalFormatting>
  <conditionalFormatting sqref="V58:V60">
    <cfRule type="expression" dxfId="74" priority="44" stopIfTrue="1">
      <formula>MOD(ROW(),2)=1</formula>
    </cfRule>
  </conditionalFormatting>
  <conditionalFormatting sqref="V11">
    <cfRule type="expression" dxfId="73" priority="43" stopIfTrue="1">
      <formula>MOD(ROW(),2)=1</formula>
    </cfRule>
  </conditionalFormatting>
  <conditionalFormatting sqref="V11">
    <cfRule type="expression" dxfId="72" priority="42" stopIfTrue="1">
      <formula>MOD(ROW(),2)=1</formula>
    </cfRule>
  </conditionalFormatting>
  <conditionalFormatting sqref="V12">
    <cfRule type="expression" dxfId="71" priority="41" stopIfTrue="1">
      <formula>MOD(ROW(),2)=1</formula>
    </cfRule>
  </conditionalFormatting>
  <conditionalFormatting sqref="V12">
    <cfRule type="expression" dxfId="70" priority="40" stopIfTrue="1">
      <formula>MOD(ROW(),2)=1</formula>
    </cfRule>
  </conditionalFormatting>
  <conditionalFormatting sqref="V30">
    <cfRule type="expression" dxfId="69" priority="39" stopIfTrue="1">
      <formula>MOD(ROW(),2)=1</formula>
    </cfRule>
  </conditionalFormatting>
  <conditionalFormatting sqref="V30">
    <cfRule type="expression" dxfId="68" priority="38" stopIfTrue="1">
      <formula>MOD(ROW(),2)=1</formula>
    </cfRule>
  </conditionalFormatting>
  <conditionalFormatting sqref="V42">
    <cfRule type="expression" dxfId="67" priority="37" stopIfTrue="1">
      <formula>MOD(ROW(),2)=1</formula>
    </cfRule>
  </conditionalFormatting>
  <conditionalFormatting sqref="V21">
    <cfRule type="expression" dxfId="66" priority="36" stopIfTrue="1">
      <formula>MOD(ROW(),2)=1</formula>
    </cfRule>
  </conditionalFormatting>
  <conditionalFormatting sqref="V21">
    <cfRule type="expression" dxfId="65" priority="35" stopIfTrue="1">
      <formula>MOD(ROW(),2)=1</formula>
    </cfRule>
  </conditionalFormatting>
  <conditionalFormatting sqref="W43:W65">
    <cfRule type="expression" dxfId="64" priority="34" stopIfTrue="1">
      <formula>MOD(ROW(),2)=1</formula>
    </cfRule>
  </conditionalFormatting>
  <conditionalFormatting sqref="W7:W10 W13:W20 W31:W41 W22:W29">
    <cfRule type="expression" dxfId="63" priority="33" stopIfTrue="1">
      <formula>MOD(ROW(),2)=1</formula>
    </cfRule>
  </conditionalFormatting>
  <conditionalFormatting sqref="W22:W28 W7:W9 W43:W52 W31:W36">
    <cfRule type="expression" dxfId="62" priority="32" stopIfTrue="1">
      <formula>MOD(ROW(),2)=1</formula>
    </cfRule>
  </conditionalFormatting>
  <conditionalFormatting sqref="W10 W13:W20">
    <cfRule type="expression" dxfId="61" priority="31" stopIfTrue="1">
      <formula>MOD(ROW(),2)=1</formula>
    </cfRule>
  </conditionalFormatting>
  <conditionalFormatting sqref="W49">
    <cfRule type="expression" dxfId="60" priority="30" stopIfTrue="1">
      <formula>MOD(ROW(),2)=1</formula>
    </cfRule>
  </conditionalFormatting>
  <conditionalFormatting sqref="W37:W39">
    <cfRule type="expression" dxfId="59" priority="29" stopIfTrue="1">
      <formula>MOD(ROW(),2)=1</formula>
    </cfRule>
  </conditionalFormatting>
  <conditionalFormatting sqref="W29">
    <cfRule type="expression" dxfId="58" priority="28" stopIfTrue="1">
      <formula>MOD(ROW(),2)=1</formula>
    </cfRule>
  </conditionalFormatting>
  <conditionalFormatting sqref="W58:W60">
    <cfRule type="expression" dxfId="57" priority="27" stopIfTrue="1">
      <formula>MOD(ROW(),2)=1</formula>
    </cfRule>
  </conditionalFormatting>
  <conditionalFormatting sqref="W11">
    <cfRule type="expression" dxfId="56" priority="26" stopIfTrue="1">
      <formula>MOD(ROW(),2)=1</formula>
    </cfRule>
  </conditionalFormatting>
  <conditionalFormatting sqref="W11">
    <cfRule type="expression" dxfId="55" priority="25" stopIfTrue="1">
      <formula>MOD(ROW(),2)=1</formula>
    </cfRule>
  </conditionalFormatting>
  <conditionalFormatting sqref="W12">
    <cfRule type="expression" dxfId="54" priority="24" stopIfTrue="1">
      <formula>MOD(ROW(),2)=1</formula>
    </cfRule>
  </conditionalFormatting>
  <conditionalFormatting sqref="W12">
    <cfRule type="expression" dxfId="53" priority="23" stopIfTrue="1">
      <formula>MOD(ROW(),2)=1</formula>
    </cfRule>
  </conditionalFormatting>
  <conditionalFormatting sqref="W30">
    <cfRule type="expression" dxfId="52" priority="22" stopIfTrue="1">
      <formula>MOD(ROW(),2)=1</formula>
    </cfRule>
  </conditionalFormatting>
  <conditionalFormatting sqref="W30">
    <cfRule type="expression" dxfId="51" priority="21" stopIfTrue="1">
      <formula>MOD(ROW(),2)=1</formula>
    </cfRule>
  </conditionalFormatting>
  <conditionalFormatting sqref="W42">
    <cfRule type="expression" dxfId="50" priority="20" stopIfTrue="1">
      <formula>MOD(ROW(),2)=1</formula>
    </cfRule>
  </conditionalFormatting>
  <conditionalFormatting sqref="W21">
    <cfRule type="expression" dxfId="49" priority="19" stopIfTrue="1">
      <formula>MOD(ROW(),2)=1</formula>
    </cfRule>
  </conditionalFormatting>
  <conditionalFormatting sqref="W21">
    <cfRule type="expression" dxfId="48" priority="18" stopIfTrue="1">
      <formula>MOD(ROW(),2)=1</formula>
    </cfRule>
  </conditionalFormatting>
  <conditionalFormatting sqref="X43:X65">
    <cfRule type="expression" dxfId="47" priority="17" stopIfTrue="1">
      <formula>MOD(ROW(),2)=1</formula>
    </cfRule>
  </conditionalFormatting>
  <conditionalFormatting sqref="X7:X10 X13:X20 X31:X41 X22:X29">
    <cfRule type="expression" dxfId="46" priority="16" stopIfTrue="1">
      <formula>MOD(ROW(),2)=1</formula>
    </cfRule>
  </conditionalFormatting>
  <conditionalFormatting sqref="X22:X28 X7:X9 X43:X52 X31:X36">
    <cfRule type="expression" dxfId="45" priority="15" stopIfTrue="1">
      <formula>MOD(ROW(),2)=1</formula>
    </cfRule>
  </conditionalFormatting>
  <conditionalFormatting sqref="X10 X13:X20">
    <cfRule type="expression" dxfId="44" priority="14" stopIfTrue="1">
      <formula>MOD(ROW(),2)=1</formula>
    </cfRule>
  </conditionalFormatting>
  <conditionalFormatting sqref="X49">
    <cfRule type="expression" dxfId="43" priority="13" stopIfTrue="1">
      <formula>MOD(ROW(),2)=1</formula>
    </cfRule>
  </conditionalFormatting>
  <conditionalFormatting sqref="X37:X39">
    <cfRule type="expression" dxfId="42" priority="12" stopIfTrue="1">
      <formula>MOD(ROW(),2)=1</formula>
    </cfRule>
  </conditionalFormatting>
  <conditionalFormatting sqref="X29">
    <cfRule type="expression" dxfId="41" priority="11" stopIfTrue="1">
      <formula>MOD(ROW(),2)=1</formula>
    </cfRule>
  </conditionalFormatting>
  <conditionalFormatting sqref="X58:X60">
    <cfRule type="expression" dxfId="40" priority="10" stopIfTrue="1">
      <formula>MOD(ROW(),2)=1</formula>
    </cfRule>
  </conditionalFormatting>
  <conditionalFormatting sqref="X11">
    <cfRule type="expression" dxfId="39" priority="9" stopIfTrue="1">
      <formula>MOD(ROW(),2)=1</formula>
    </cfRule>
  </conditionalFormatting>
  <conditionalFormatting sqref="X11">
    <cfRule type="expression" dxfId="38" priority="8" stopIfTrue="1">
      <formula>MOD(ROW(),2)=1</formula>
    </cfRule>
  </conditionalFormatting>
  <conditionalFormatting sqref="X12">
    <cfRule type="expression" dxfId="37" priority="7" stopIfTrue="1">
      <formula>MOD(ROW(),2)=1</formula>
    </cfRule>
  </conditionalFormatting>
  <conditionalFormatting sqref="X12">
    <cfRule type="expression" dxfId="36" priority="6" stopIfTrue="1">
      <formula>MOD(ROW(),2)=1</formula>
    </cfRule>
  </conditionalFormatting>
  <conditionalFormatting sqref="X30">
    <cfRule type="expression" dxfId="35" priority="5" stopIfTrue="1">
      <formula>MOD(ROW(),2)=1</formula>
    </cfRule>
  </conditionalFormatting>
  <conditionalFormatting sqref="X30">
    <cfRule type="expression" dxfId="34" priority="4" stopIfTrue="1">
      <formula>MOD(ROW(),2)=1</formula>
    </cfRule>
  </conditionalFormatting>
  <conditionalFormatting sqref="X42">
    <cfRule type="expression" dxfId="33" priority="3" stopIfTrue="1">
      <formula>MOD(ROW(),2)=1</formula>
    </cfRule>
  </conditionalFormatting>
  <conditionalFormatting sqref="X21">
    <cfRule type="expression" dxfId="32" priority="2" stopIfTrue="1">
      <formula>MOD(ROW(),2)=1</formula>
    </cfRule>
  </conditionalFormatting>
  <conditionalFormatting sqref="X21">
    <cfRule type="expression" dxfId="31" priority="1" stopIfTrue="1">
      <formula>MOD(ROW(),2)=1</formula>
    </cfRule>
  </conditionalFormatting>
  <pageMargins left="0.7" right="0.7" top="0.75" bottom="0.75" header="0.3" footer="0.3"/>
  <pageSetup paperSize="3" scale="72" orientation="landscape" horizontalDpi="1200" r:id="rId1"/>
  <ignoredErrors>
    <ignoredError sqref="F46 K46 P4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FB241-F385-4253-9C6A-523EB7E8F1B3}">
  <sheetPr>
    <tabColor theme="9" tint="0.59999389629810485"/>
    <pageSetUpPr fitToPage="1"/>
  </sheetPr>
  <dimension ref="A1:X50"/>
  <sheetViews>
    <sheetView showGridLines="0" zoomScale="80" zoomScaleNormal="80" workbookViewId="0">
      <pane xSplit="1" ySplit="5" topLeftCell="H6" activePane="bottomRight" state="frozen"/>
      <selection pane="topRight"/>
      <selection pane="bottomLeft"/>
      <selection pane="bottomRight" activeCell="A50" sqref="A50"/>
    </sheetView>
  </sheetViews>
  <sheetFormatPr defaultColWidth="9.28515625" defaultRowHeight="15" x14ac:dyDescent="0.25"/>
  <cols>
    <col min="1" max="1" width="60.42578125" style="73" customWidth="1"/>
    <col min="2" max="5" width="13.7109375" style="73" customWidth="1"/>
    <col min="6" max="6" width="13.7109375" style="76" customWidth="1"/>
    <col min="7" max="10" width="13.7109375" style="73" customWidth="1"/>
    <col min="11" max="11" width="13.7109375" style="76" customWidth="1"/>
    <col min="12" max="15" width="13.7109375" style="73" customWidth="1"/>
    <col min="16" max="16" width="13.7109375" style="76" customWidth="1"/>
    <col min="17" max="20" width="13.7109375" style="73" customWidth="1"/>
    <col min="21" max="21" width="13.7109375" style="76" customWidth="1"/>
    <col min="22" max="24" width="13.7109375" style="73" customWidth="1"/>
    <col min="25" max="16384" width="9.28515625" style="73"/>
  </cols>
  <sheetData>
    <row r="1" spans="1:24" x14ac:dyDescent="0.25">
      <c r="A1" s="36" t="s">
        <v>78</v>
      </c>
      <c r="P1" s="76" t="s">
        <v>105</v>
      </c>
      <c r="U1" s="76" t="s">
        <v>105</v>
      </c>
    </row>
    <row r="2" spans="1:24" x14ac:dyDescent="0.25">
      <c r="A2" s="36" t="s">
        <v>111</v>
      </c>
    </row>
    <row r="3" spans="1:24" x14ac:dyDescent="0.25">
      <c r="A3" s="38" t="s">
        <v>152</v>
      </c>
    </row>
    <row r="4" spans="1:24" x14ac:dyDescent="0.25">
      <c r="A4" s="38" t="s">
        <v>150</v>
      </c>
      <c r="B4" s="74"/>
      <c r="C4" s="74"/>
      <c r="D4" s="74"/>
      <c r="E4" s="74"/>
      <c r="F4" s="77"/>
      <c r="G4" s="74"/>
      <c r="H4" s="74"/>
      <c r="I4" s="74"/>
      <c r="J4" s="74"/>
      <c r="K4" s="77"/>
      <c r="L4" s="74"/>
      <c r="M4" s="74"/>
      <c r="N4" s="74"/>
      <c r="O4" s="74"/>
      <c r="P4" s="77"/>
      <c r="Q4" s="74"/>
      <c r="R4" s="74"/>
      <c r="S4" s="74"/>
      <c r="T4" s="74"/>
      <c r="U4" s="77"/>
      <c r="V4" s="74"/>
      <c r="W4" s="74"/>
      <c r="X4" s="74"/>
    </row>
    <row r="5" spans="1:24" s="66" customFormat="1" ht="12.75" x14ac:dyDescent="0.2">
      <c r="A5" s="65"/>
      <c r="B5" s="56" t="s">
        <v>66</v>
      </c>
      <c r="C5" s="56" t="s">
        <v>67</v>
      </c>
      <c r="D5" s="56" t="s">
        <v>68</v>
      </c>
      <c r="E5" s="56" t="s">
        <v>69</v>
      </c>
      <c r="F5" s="49">
        <v>2016</v>
      </c>
      <c r="G5" s="56" t="s">
        <v>77</v>
      </c>
      <c r="H5" s="56" t="s">
        <v>76</v>
      </c>
      <c r="I5" s="56" t="s">
        <v>75</v>
      </c>
      <c r="J5" s="56" t="s">
        <v>74</v>
      </c>
      <c r="K5" s="49">
        <v>2017</v>
      </c>
      <c r="L5" s="56" t="s">
        <v>73</v>
      </c>
      <c r="M5" s="56" t="s">
        <v>72</v>
      </c>
      <c r="N5" s="56" t="s">
        <v>71</v>
      </c>
      <c r="O5" s="56" t="s">
        <v>70</v>
      </c>
      <c r="P5" s="49">
        <v>2018</v>
      </c>
      <c r="Q5" s="56" t="s">
        <v>158</v>
      </c>
      <c r="R5" s="56" t="s">
        <v>176</v>
      </c>
      <c r="S5" s="56" t="s">
        <v>179</v>
      </c>
      <c r="T5" s="56" t="s">
        <v>180</v>
      </c>
      <c r="U5" s="49">
        <v>2019</v>
      </c>
      <c r="V5" s="56" t="s">
        <v>182</v>
      </c>
      <c r="W5" s="56" t="s">
        <v>188</v>
      </c>
      <c r="X5" s="56" t="s">
        <v>189</v>
      </c>
    </row>
    <row r="6" spans="1:24" s="2" customFormat="1" ht="12.75" x14ac:dyDescent="0.2">
      <c r="A6" s="67" t="s">
        <v>79</v>
      </c>
      <c r="B6" s="3"/>
      <c r="C6" s="3"/>
      <c r="D6" s="3"/>
      <c r="E6" s="3"/>
      <c r="F6" s="24"/>
      <c r="G6" s="3"/>
      <c r="H6" s="3"/>
      <c r="I6" s="3"/>
      <c r="J6" s="3"/>
      <c r="K6" s="24"/>
      <c r="L6" s="3"/>
      <c r="M6" s="3"/>
      <c r="N6" s="3"/>
      <c r="O6" s="3"/>
      <c r="P6" s="24"/>
      <c r="Q6" s="3"/>
      <c r="R6" s="3"/>
      <c r="S6" s="3"/>
      <c r="T6" s="3"/>
      <c r="U6" s="24"/>
      <c r="V6" s="3"/>
      <c r="W6" s="3"/>
      <c r="X6" s="3"/>
    </row>
    <row r="7" spans="1:24" s="2" customFormat="1" ht="12.75" x14ac:dyDescent="0.2">
      <c r="A7" s="14" t="s">
        <v>177</v>
      </c>
      <c r="B7" s="40">
        <v>48710</v>
      </c>
      <c r="C7" s="40">
        <v>54826</v>
      </c>
      <c r="D7" s="40">
        <v>85822</v>
      </c>
      <c r="E7" s="40">
        <v>66805</v>
      </c>
      <c r="F7" s="46">
        <f>SUM(B7:E7)</f>
        <v>256163</v>
      </c>
      <c r="G7" s="40">
        <v>51768</v>
      </c>
      <c r="H7" s="40">
        <v>55924</v>
      </c>
      <c r="I7" s="40">
        <v>94705</v>
      </c>
      <c r="J7" s="40">
        <v>75802</v>
      </c>
      <c r="K7" s="46">
        <f>SUM(G7:J7)</f>
        <v>278199</v>
      </c>
      <c r="L7" s="40">
        <v>76506</v>
      </c>
      <c r="M7" s="40">
        <v>92511</v>
      </c>
      <c r="N7" s="40">
        <v>111421</v>
      </c>
      <c r="O7" s="40">
        <v>74512</v>
      </c>
      <c r="P7" s="46">
        <f>SUM(L7:O7)</f>
        <v>354950</v>
      </c>
      <c r="Q7" s="40">
        <v>68158</v>
      </c>
      <c r="R7" s="40">
        <v>66881</v>
      </c>
      <c r="S7" s="40">
        <v>98809</v>
      </c>
      <c r="T7" s="40">
        <v>88845</v>
      </c>
      <c r="U7" s="46">
        <f>SUM(Q7:T7)</f>
        <v>322693</v>
      </c>
      <c r="V7" s="40">
        <v>82425</v>
      </c>
      <c r="W7" s="40">
        <v>67345</v>
      </c>
      <c r="X7" s="40">
        <v>116985</v>
      </c>
    </row>
    <row r="8" spans="1:24" s="2" customFormat="1" ht="12.75" x14ac:dyDescent="0.2">
      <c r="A8" s="14" t="s">
        <v>80</v>
      </c>
      <c r="B8" s="5">
        <v>83238</v>
      </c>
      <c r="C8" s="5">
        <v>90924</v>
      </c>
      <c r="D8" s="5">
        <v>97620</v>
      </c>
      <c r="E8" s="5">
        <v>95644</v>
      </c>
      <c r="F8" s="25">
        <f t="shared" ref="F8:F9" si="0">SUM(B8:E8)</f>
        <v>367426</v>
      </c>
      <c r="G8" s="5">
        <v>95592</v>
      </c>
      <c r="H8" s="5">
        <v>114529</v>
      </c>
      <c r="I8" s="5">
        <v>116487</v>
      </c>
      <c r="J8" s="5">
        <v>114549</v>
      </c>
      <c r="K8" s="25">
        <f t="shared" ref="K8:K9" si="1">SUM(G8:J8)</f>
        <v>441157</v>
      </c>
      <c r="L8" s="5">
        <v>139815</v>
      </c>
      <c r="M8" s="5">
        <v>193585</v>
      </c>
      <c r="N8" s="5">
        <v>199025</v>
      </c>
      <c r="O8" s="5">
        <v>148506</v>
      </c>
      <c r="P8" s="25">
        <f t="shared" ref="P8:P9" si="2">SUM(L8:O8)</f>
        <v>680931</v>
      </c>
      <c r="Q8" s="5">
        <v>132306</v>
      </c>
      <c r="R8" s="5">
        <v>138030</v>
      </c>
      <c r="S8" s="5">
        <v>143643</v>
      </c>
      <c r="T8" s="5">
        <v>126429</v>
      </c>
      <c r="U8" s="25">
        <f t="shared" ref="U8:U9" si="3">SUM(Q8:T8)</f>
        <v>540408</v>
      </c>
      <c r="V8" s="5">
        <v>145000</v>
      </c>
      <c r="W8" s="5">
        <v>126216</v>
      </c>
      <c r="X8" s="5">
        <v>218291</v>
      </c>
    </row>
    <row r="9" spans="1:24" s="2" customFormat="1" ht="12.75" x14ac:dyDescent="0.2">
      <c r="A9" s="14" t="s">
        <v>81</v>
      </c>
      <c r="B9" s="6">
        <v>5566</v>
      </c>
      <c r="C9" s="6">
        <v>9954</v>
      </c>
      <c r="D9" s="6">
        <v>8426</v>
      </c>
      <c r="E9" s="6">
        <v>8658</v>
      </c>
      <c r="F9" s="26">
        <f t="shared" si="0"/>
        <v>32604</v>
      </c>
      <c r="G9" s="6">
        <v>14504</v>
      </c>
      <c r="H9" s="6">
        <v>8136</v>
      </c>
      <c r="I9" s="6">
        <v>3282</v>
      </c>
      <c r="J9" s="6">
        <v>4733</v>
      </c>
      <c r="K9" s="26">
        <f t="shared" si="1"/>
        <v>30655</v>
      </c>
      <c r="L9" s="6">
        <v>10555</v>
      </c>
      <c r="M9" s="6">
        <v>16431</v>
      </c>
      <c r="N9" s="6">
        <v>11233</v>
      </c>
      <c r="O9" s="6">
        <v>16347</v>
      </c>
      <c r="P9" s="26">
        <f t="shared" si="2"/>
        <v>54566</v>
      </c>
      <c r="Q9" s="6">
        <v>6164</v>
      </c>
      <c r="R9" s="6">
        <v>36432</v>
      </c>
      <c r="S9" s="6">
        <v>18863</v>
      </c>
      <c r="T9" s="6">
        <v>17413</v>
      </c>
      <c r="U9" s="26">
        <f t="shared" si="3"/>
        <v>78872</v>
      </c>
      <c r="V9" s="6">
        <v>10969</v>
      </c>
      <c r="W9" s="6">
        <v>13105</v>
      </c>
      <c r="X9" s="6">
        <v>18151</v>
      </c>
    </row>
    <row r="10" spans="1:24" s="2" customFormat="1" ht="12.75" x14ac:dyDescent="0.2">
      <c r="A10" s="68"/>
      <c r="B10" s="10">
        <f>SUM(B7:B9)</f>
        <v>137514</v>
      </c>
      <c r="C10" s="10">
        <f>SUM(C7:C9)</f>
        <v>155704</v>
      </c>
      <c r="D10" s="10">
        <f>SUM(D7:D9)</f>
        <v>191868</v>
      </c>
      <c r="E10" s="10">
        <f>SUM(E7:E9)</f>
        <v>171107</v>
      </c>
      <c r="F10" s="28">
        <f>SUM(F7:F9)</f>
        <v>656193</v>
      </c>
      <c r="G10" s="10">
        <f t="shared" ref="G10" si="4">SUM(G7:G9)</f>
        <v>161864</v>
      </c>
      <c r="H10" s="10">
        <f t="shared" ref="H10" si="5">SUM(H7:H9)</f>
        <v>178589</v>
      </c>
      <c r="I10" s="10">
        <f t="shared" ref="I10" si="6">SUM(I7:I9)</f>
        <v>214474</v>
      </c>
      <c r="J10" s="10">
        <f t="shared" ref="J10:P10" si="7">SUM(J7:J9)</f>
        <v>195084</v>
      </c>
      <c r="K10" s="28">
        <f t="shared" si="7"/>
        <v>750011</v>
      </c>
      <c r="L10" s="10">
        <f t="shared" si="7"/>
        <v>226876</v>
      </c>
      <c r="M10" s="10">
        <f t="shared" si="7"/>
        <v>302527</v>
      </c>
      <c r="N10" s="10">
        <f t="shared" si="7"/>
        <v>321679</v>
      </c>
      <c r="O10" s="10">
        <f t="shared" si="7"/>
        <v>239365</v>
      </c>
      <c r="P10" s="28">
        <f t="shared" si="7"/>
        <v>1090447</v>
      </c>
      <c r="Q10" s="10">
        <f t="shared" ref="Q10:R10" si="8">SUM(Q7:Q9)</f>
        <v>206628</v>
      </c>
      <c r="R10" s="10">
        <f t="shared" si="8"/>
        <v>241343</v>
      </c>
      <c r="S10" s="10">
        <f t="shared" ref="S10:T10" si="9">SUM(S7:S9)</f>
        <v>261315</v>
      </c>
      <c r="T10" s="10">
        <f t="shared" si="9"/>
        <v>232687</v>
      </c>
      <c r="U10" s="10">
        <f>SUM(U7:U9)</f>
        <v>941973</v>
      </c>
      <c r="V10" s="10">
        <f t="shared" ref="V10:W10" si="10">SUM(V7:V9)</f>
        <v>238394</v>
      </c>
      <c r="W10" s="10">
        <f t="shared" si="10"/>
        <v>206666</v>
      </c>
      <c r="X10" s="10">
        <f t="shared" ref="X10" si="11">SUM(X7:X9)</f>
        <v>353427</v>
      </c>
    </row>
    <row r="11" spans="1:24" s="2" customFormat="1" ht="12.75" x14ac:dyDescent="0.2">
      <c r="A11" s="14" t="s">
        <v>178</v>
      </c>
      <c r="B11" s="5">
        <v>-9618</v>
      </c>
      <c r="C11" s="5">
        <v>-14209</v>
      </c>
      <c r="D11" s="5">
        <v>-17841</v>
      </c>
      <c r="E11" s="5">
        <v>-15426</v>
      </c>
      <c r="F11" s="25">
        <f>SUM(B11:E11)</f>
        <v>-57094</v>
      </c>
      <c r="G11" s="5">
        <v>-12183</v>
      </c>
      <c r="H11" s="5">
        <v>-15360</v>
      </c>
      <c r="I11" s="5">
        <v>-24033</v>
      </c>
      <c r="J11" s="5">
        <v>-19840</v>
      </c>
      <c r="K11" s="25">
        <f>SUM(G11:J11)</f>
        <v>-71416</v>
      </c>
      <c r="L11" s="5">
        <v>-26979</v>
      </c>
      <c r="M11" s="5">
        <v>-34294</v>
      </c>
      <c r="N11" s="5">
        <v>-32480</v>
      </c>
      <c r="O11" s="5">
        <f>217249-239364</f>
        <v>-22115</v>
      </c>
      <c r="P11" s="25">
        <f>SUM(L11:O11)</f>
        <v>-115868</v>
      </c>
      <c r="Q11" s="5">
        <v>-24912</v>
      </c>
      <c r="R11" s="5">
        <v>-25762</v>
      </c>
      <c r="S11" s="5">
        <v>-35013</v>
      </c>
      <c r="T11" s="5">
        <v>-29188</v>
      </c>
      <c r="U11" s="25">
        <f>SUM(Q11:T11)</f>
        <v>-114875</v>
      </c>
      <c r="V11" s="5">
        <v>-29514</v>
      </c>
      <c r="W11" s="5">
        <v>-25111</v>
      </c>
      <c r="X11" s="5">
        <v>-40381</v>
      </c>
    </row>
    <row r="12" spans="1:24" s="2" customFormat="1" ht="13.5" thickBot="1" x14ac:dyDescent="0.25">
      <c r="A12" s="1" t="s">
        <v>82</v>
      </c>
      <c r="B12" s="12">
        <f>SUM(B10:B11)</f>
        <v>127896</v>
      </c>
      <c r="C12" s="12">
        <f>SUM(C10:C11)</f>
        <v>141495</v>
      </c>
      <c r="D12" s="12">
        <f>SUM(D10:D11)</f>
        <v>174027</v>
      </c>
      <c r="E12" s="12">
        <f>SUM(E10:E11)</f>
        <v>155681</v>
      </c>
      <c r="F12" s="30">
        <f>SUM(F10:F11)</f>
        <v>599099</v>
      </c>
      <c r="G12" s="12">
        <f t="shared" ref="G12" si="12">SUM(G10:G11)</f>
        <v>149681</v>
      </c>
      <c r="H12" s="12">
        <f t="shared" ref="H12" si="13">SUM(H10:H11)</f>
        <v>163229</v>
      </c>
      <c r="I12" s="12">
        <f t="shared" ref="I12" si="14">SUM(I10:I11)</f>
        <v>190441</v>
      </c>
      <c r="J12" s="12">
        <f t="shared" ref="J12:P12" si="15">SUM(J10:J11)</f>
        <v>175244</v>
      </c>
      <c r="K12" s="30">
        <f t="shared" si="15"/>
        <v>678595</v>
      </c>
      <c r="L12" s="12">
        <f t="shared" si="15"/>
        <v>199897</v>
      </c>
      <c r="M12" s="12">
        <f t="shared" si="15"/>
        <v>268233</v>
      </c>
      <c r="N12" s="12">
        <f t="shared" si="15"/>
        <v>289199</v>
      </c>
      <c r="O12" s="12">
        <f t="shared" si="15"/>
        <v>217250</v>
      </c>
      <c r="P12" s="30">
        <f t="shared" si="15"/>
        <v>974579</v>
      </c>
      <c r="Q12" s="12">
        <f t="shared" ref="Q12:R12" si="16">SUM(Q10:Q11)</f>
        <v>181716</v>
      </c>
      <c r="R12" s="12">
        <f t="shared" si="16"/>
        <v>215581</v>
      </c>
      <c r="S12" s="12">
        <f t="shared" ref="S12:U12" si="17">SUM(S10:S11)</f>
        <v>226302</v>
      </c>
      <c r="T12" s="12">
        <f t="shared" si="17"/>
        <v>203499</v>
      </c>
      <c r="U12" s="30">
        <f t="shared" si="17"/>
        <v>827098</v>
      </c>
      <c r="V12" s="12">
        <f t="shared" ref="V12:W12" si="18">SUM(V10:V11)</f>
        <v>208880</v>
      </c>
      <c r="W12" s="12">
        <f t="shared" si="18"/>
        <v>181555</v>
      </c>
      <c r="X12" s="12">
        <f t="shared" ref="X12" si="19">SUM(X10:X11)</f>
        <v>313046</v>
      </c>
    </row>
    <row r="13" spans="1:24" s="2" customFormat="1" ht="13.5" thickTop="1" x14ac:dyDescent="0.2">
      <c r="A13" s="1"/>
      <c r="B13" s="13"/>
      <c r="C13" s="13"/>
      <c r="D13" s="13"/>
      <c r="E13" s="13"/>
      <c r="F13" s="31"/>
      <c r="G13" s="13"/>
      <c r="H13" s="13"/>
      <c r="I13" s="13"/>
      <c r="J13" s="13"/>
      <c r="K13" s="31"/>
      <c r="L13" s="13"/>
      <c r="M13" s="13"/>
      <c r="N13" s="13"/>
      <c r="O13" s="13"/>
      <c r="P13" s="31"/>
      <c r="Q13" s="13"/>
      <c r="R13" s="13"/>
      <c r="S13" s="13"/>
      <c r="T13" s="13"/>
      <c r="U13" s="31"/>
      <c r="V13" s="13"/>
      <c r="W13" s="13"/>
      <c r="X13" s="13"/>
    </row>
    <row r="14" spans="1:24" s="2" customFormat="1" ht="12.75" x14ac:dyDescent="0.2">
      <c r="A14" s="67" t="s">
        <v>83</v>
      </c>
      <c r="B14" s="3"/>
      <c r="C14" s="3"/>
      <c r="D14" s="3"/>
      <c r="E14" s="3"/>
      <c r="F14" s="24"/>
      <c r="G14" s="3"/>
      <c r="H14" s="3"/>
      <c r="I14" s="3"/>
      <c r="J14" s="3"/>
      <c r="K14" s="24"/>
      <c r="L14" s="3"/>
      <c r="M14" s="3"/>
      <c r="N14" s="3"/>
      <c r="O14" s="3"/>
      <c r="P14" s="24"/>
      <c r="Q14" s="3"/>
      <c r="R14" s="3"/>
      <c r="S14" s="3"/>
      <c r="T14" s="3"/>
      <c r="U14" s="24"/>
      <c r="V14" s="3"/>
      <c r="W14" s="3"/>
      <c r="X14" s="3"/>
    </row>
    <row r="15" spans="1:24" s="2" customFormat="1" ht="12.75" x14ac:dyDescent="0.2">
      <c r="A15" s="14" t="s">
        <v>177</v>
      </c>
      <c r="B15" s="69">
        <f>16335+34</f>
        <v>16369</v>
      </c>
      <c r="C15" s="69">
        <f>21060+38</f>
        <v>21098</v>
      </c>
      <c r="D15" s="69">
        <f>39758+36</f>
        <v>39794</v>
      </c>
      <c r="E15" s="69">
        <f>28855+36-1</f>
        <v>28890</v>
      </c>
      <c r="F15" s="78">
        <f t="shared" ref="F15:F19" si="20">SUM(B15:E15)</f>
        <v>106151</v>
      </c>
      <c r="G15" s="69">
        <v>19343</v>
      </c>
      <c r="H15" s="69">
        <v>23823</v>
      </c>
      <c r="I15" s="69">
        <v>48034</v>
      </c>
      <c r="J15" s="69">
        <v>35507</v>
      </c>
      <c r="K15" s="78">
        <f t="shared" ref="K15:K19" si="21">SUM(G15:J15)</f>
        <v>126707</v>
      </c>
      <c r="L15" s="69">
        <v>37697</v>
      </c>
      <c r="M15" s="69">
        <v>43691</v>
      </c>
      <c r="N15" s="69">
        <v>58680</v>
      </c>
      <c r="O15" s="69">
        <v>29766</v>
      </c>
      <c r="P15" s="78">
        <f t="shared" ref="P15:P19" si="22">SUM(L15:O15)</f>
        <v>169834</v>
      </c>
      <c r="Q15" s="69">
        <v>26850</v>
      </c>
      <c r="R15" s="69">
        <v>26131</v>
      </c>
      <c r="S15" s="69">
        <v>42996</v>
      </c>
      <c r="T15" s="69">
        <v>38010</v>
      </c>
      <c r="U15" s="78">
        <f t="shared" ref="U15:U19" si="23">SUM(Q15:T15)</f>
        <v>133987</v>
      </c>
      <c r="V15" s="69">
        <v>34982</v>
      </c>
      <c r="W15" s="69">
        <v>25659</v>
      </c>
      <c r="X15" s="69">
        <v>59649</v>
      </c>
    </row>
    <row r="16" spans="1:24" s="2" customFormat="1" ht="12.75" x14ac:dyDescent="0.2">
      <c r="A16" s="14" t="s">
        <v>80</v>
      </c>
      <c r="B16" s="70">
        <f>2857+345</f>
        <v>3202</v>
      </c>
      <c r="C16" s="70">
        <f>6490+473</f>
        <v>6963</v>
      </c>
      <c r="D16" s="70">
        <f>12493+409</f>
        <v>12902</v>
      </c>
      <c r="E16" s="70">
        <f>10098+409</f>
        <v>10507</v>
      </c>
      <c r="F16" s="79">
        <f t="shared" si="20"/>
        <v>33574</v>
      </c>
      <c r="G16" s="70">
        <v>10769</v>
      </c>
      <c r="H16" s="70">
        <v>23496</v>
      </c>
      <c r="I16" s="70">
        <v>24395</v>
      </c>
      <c r="J16" s="70">
        <v>21964</v>
      </c>
      <c r="K16" s="79">
        <f t="shared" si="21"/>
        <v>80624</v>
      </c>
      <c r="L16" s="70">
        <v>28950</v>
      </c>
      <c r="M16" s="70">
        <v>51566</v>
      </c>
      <c r="N16" s="70">
        <v>46446</v>
      </c>
      <c r="O16" s="70">
        <v>3621</v>
      </c>
      <c r="P16" s="79">
        <f t="shared" si="22"/>
        <v>130583</v>
      </c>
      <c r="Q16" s="70">
        <v>7226</v>
      </c>
      <c r="R16" s="70">
        <v>-2071</v>
      </c>
      <c r="S16" s="70">
        <v>5903</v>
      </c>
      <c r="T16" s="70">
        <v>1843</v>
      </c>
      <c r="U16" s="79">
        <f t="shared" si="23"/>
        <v>12901</v>
      </c>
      <c r="V16" s="70">
        <v>13229</v>
      </c>
      <c r="W16" s="70">
        <v>10907</v>
      </c>
      <c r="X16" s="70">
        <v>81644</v>
      </c>
    </row>
    <row r="17" spans="1:24" s="2" customFormat="1" ht="12.75" x14ac:dyDescent="0.2">
      <c r="A17" s="14" t="s">
        <v>81</v>
      </c>
      <c r="B17" s="70">
        <f>4322+8</f>
        <v>4330</v>
      </c>
      <c r="C17" s="70">
        <f>8602+9</f>
        <v>8611</v>
      </c>
      <c r="D17" s="70">
        <f>7249+8</f>
        <v>7257</v>
      </c>
      <c r="E17" s="70">
        <f>7375+8+1</f>
        <v>7384</v>
      </c>
      <c r="F17" s="79">
        <f t="shared" si="20"/>
        <v>27582</v>
      </c>
      <c r="G17" s="70">
        <v>13460</v>
      </c>
      <c r="H17" s="70">
        <v>6779</v>
      </c>
      <c r="I17" s="70">
        <v>2094</v>
      </c>
      <c r="J17" s="70">
        <v>3387</v>
      </c>
      <c r="K17" s="79">
        <f t="shared" si="21"/>
        <v>25720</v>
      </c>
      <c r="L17" s="70">
        <v>8002</v>
      </c>
      <c r="M17" s="70">
        <v>12300</v>
      </c>
      <c r="N17" s="70">
        <v>7467</v>
      </c>
      <c r="O17" s="70">
        <v>12535</v>
      </c>
      <c r="P17" s="79">
        <f t="shared" si="22"/>
        <v>40304</v>
      </c>
      <c r="Q17" s="70">
        <v>2703</v>
      </c>
      <c r="R17" s="70">
        <v>31316</v>
      </c>
      <c r="S17" s="70">
        <v>14678</v>
      </c>
      <c r="T17" s="70">
        <v>13953</v>
      </c>
      <c r="U17" s="79">
        <f t="shared" si="23"/>
        <v>62650</v>
      </c>
      <c r="V17" s="70">
        <v>7340</v>
      </c>
      <c r="W17" s="70">
        <v>9256</v>
      </c>
      <c r="X17" s="70">
        <v>13466</v>
      </c>
    </row>
    <row r="18" spans="1:24" s="2" customFormat="1" ht="12.75" x14ac:dyDescent="0.2">
      <c r="A18" s="14" t="s">
        <v>84</v>
      </c>
      <c r="B18" s="70">
        <f>-9423+1710+220</f>
        <v>-7493</v>
      </c>
      <c r="C18" s="70">
        <f>-9984+1954+802</f>
        <v>-7228</v>
      </c>
      <c r="D18" s="70">
        <f>-8719+1832</f>
        <v>-6887</v>
      </c>
      <c r="E18" s="70">
        <f>-9570+1832</f>
        <v>-7738</v>
      </c>
      <c r="F18" s="79">
        <f t="shared" si="20"/>
        <v>-29346</v>
      </c>
      <c r="G18" s="70">
        <v>-7692</v>
      </c>
      <c r="H18" s="70">
        <v>-9009</v>
      </c>
      <c r="I18" s="70">
        <v>-9108</v>
      </c>
      <c r="J18" s="70">
        <v>-8493</v>
      </c>
      <c r="K18" s="79">
        <f t="shared" si="21"/>
        <v>-34302</v>
      </c>
      <c r="L18" s="70">
        <v>-8716</v>
      </c>
      <c r="M18" s="70">
        <v>-11264</v>
      </c>
      <c r="N18" s="70">
        <v>-8989</v>
      </c>
      <c r="O18" s="70">
        <v>-8816</v>
      </c>
      <c r="P18" s="79">
        <f t="shared" si="22"/>
        <v>-37785</v>
      </c>
      <c r="Q18" s="70">
        <v>-10654</v>
      </c>
      <c r="R18" s="70">
        <v>-9346</v>
      </c>
      <c r="S18" s="70">
        <v>-6930</v>
      </c>
      <c r="T18" s="70">
        <v>-9327</v>
      </c>
      <c r="U18" s="79">
        <f t="shared" si="23"/>
        <v>-36257</v>
      </c>
      <c r="V18" s="70">
        <v>-8672</v>
      </c>
      <c r="W18" s="70">
        <v>-10534</v>
      </c>
      <c r="X18" s="70">
        <v>-15361</v>
      </c>
    </row>
    <row r="19" spans="1:24" s="2" customFormat="1" ht="12.75" x14ac:dyDescent="0.2">
      <c r="A19" s="68" t="s">
        <v>85</v>
      </c>
      <c r="B19" s="70">
        <f>1254-2</f>
        <v>1252</v>
      </c>
      <c r="C19" s="70">
        <f>-1092+1</f>
        <v>-1091</v>
      </c>
      <c r="D19" s="70">
        <f>-2045+3</f>
        <v>-2042</v>
      </c>
      <c r="E19" s="70">
        <f>-1625-2</f>
        <v>-1627</v>
      </c>
      <c r="F19" s="79">
        <f t="shared" si="20"/>
        <v>-3508</v>
      </c>
      <c r="G19" s="70">
        <v>1040</v>
      </c>
      <c r="H19" s="70">
        <v>988</v>
      </c>
      <c r="I19" s="70">
        <v>-3180</v>
      </c>
      <c r="J19" s="70">
        <v>-1840</v>
      </c>
      <c r="K19" s="79">
        <f t="shared" si="21"/>
        <v>-2992</v>
      </c>
      <c r="L19" s="70">
        <v>-1201</v>
      </c>
      <c r="M19" s="70">
        <v>-2085</v>
      </c>
      <c r="N19" s="70">
        <v>-1794</v>
      </c>
      <c r="O19" s="70">
        <v>-663</v>
      </c>
      <c r="P19" s="79">
        <f t="shared" si="22"/>
        <v>-5743</v>
      </c>
      <c r="Q19" s="70">
        <v>2127</v>
      </c>
      <c r="R19" s="70">
        <v>3050</v>
      </c>
      <c r="S19" s="70">
        <v>-1635</v>
      </c>
      <c r="T19" s="70">
        <v>2120</v>
      </c>
      <c r="U19" s="79">
        <f t="shared" si="23"/>
        <v>5662</v>
      </c>
      <c r="V19" s="70">
        <v>692</v>
      </c>
      <c r="W19" s="70">
        <v>85</v>
      </c>
      <c r="X19" s="70">
        <v>-4012</v>
      </c>
    </row>
    <row r="20" spans="1:24" s="2" customFormat="1" ht="14.25" x14ac:dyDescent="0.2">
      <c r="A20" s="14" t="s">
        <v>137</v>
      </c>
      <c r="B20" s="71">
        <f>SUM(B15:B19)</f>
        <v>17660</v>
      </c>
      <c r="C20" s="71">
        <f>SUM(C15:C19)</f>
        <v>28353</v>
      </c>
      <c r="D20" s="71">
        <f>SUM(D15:D19)</f>
        <v>51024</v>
      </c>
      <c r="E20" s="71">
        <f>SUM(E15:E19)</f>
        <v>37416</v>
      </c>
      <c r="F20" s="80">
        <f>SUM(F15:F19)</f>
        <v>134453</v>
      </c>
      <c r="G20" s="71">
        <f t="shared" ref="G20" si="24">SUM(G15:G19)</f>
        <v>36920</v>
      </c>
      <c r="H20" s="71">
        <f t="shared" ref="H20" si="25">SUM(H15:H19)</f>
        <v>46077</v>
      </c>
      <c r="I20" s="71">
        <f t="shared" ref="I20" si="26">SUM(I15:I19)</f>
        <v>62235</v>
      </c>
      <c r="J20" s="71">
        <f t="shared" ref="J20:O20" si="27">SUM(J15:J19)</f>
        <v>50525</v>
      </c>
      <c r="K20" s="80">
        <f t="shared" si="27"/>
        <v>195757</v>
      </c>
      <c r="L20" s="71">
        <f t="shared" si="27"/>
        <v>64732</v>
      </c>
      <c r="M20" s="71">
        <f t="shared" si="27"/>
        <v>94208</v>
      </c>
      <c r="N20" s="71">
        <f t="shared" si="27"/>
        <v>101810</v>
      </c>
      <c r="O20" s="71">
        <f t="shared" si="27"/>
        <v>36443</v>
      </c>
      <c r="P20" s="80">
        <f>SUM(P15:P19)</f>
        <v>297193</v>
      </c>
      <c r="Q20" s="71">
        <f t="shared" ref="Q20:R20" si="28">SUM(Q15:Q19)</f>
        <v>28252</v>
      </c>
      <c r="R20" s="71">
        <f t="shared" si="28"/>
        <v>49080</v>
      </c>
      <c r="S20" s="71">
        <f t="shared" ref="S20:T20" si="29">SUM(S15:S19)</f>
        <v>55012</v>
      </c>
      <c r="T20" s="71">
        <f t="shared" si="29"/>
        <v>46599</v>
      </c>
      <c r="U20" s="80">
        <f>SUM(U15:U19)</f>
        <v>178943</v>
      </c>
      <c r="V20" s="71">
        <f t="shared" ref="V20:W20" si="30">SUM(V15:V19)</f>
        <v>47571</v>
      </c>
      <c r="W20" s="71">
        <f t="shared" si="30"/>
        <v>35373</v>
      </c>
      <c r="X20" s="71">
        <f t="shared" ref="X20" si="31">SUM(X15:X19)</f>
        <v>135386</v>
      </c>
    </row>
    <row r="21" spans="1:24" s="2" customFormat="1" ht="12.75" x14ac:dyDescent="0.2">
      <c r="A21" s="1" t="s">
        <v>46</v>
      </c>
      <c r="B21" s="70">
        <f>-B48</f>
        <v>-2034</v>
      </c>
      <c r="C21" s="70">
        <f>-C48</f>
        <v>-3387</v>
      </c>
      <c r="D21" s="70">
        <f>-D48</f>
        <v>-1265</v>
      </c>
      <c r="E21" s="70">
        <f>-E48</f>
        <v>-1325</v>
      </c>
      <c r="F21" s="79">
        <f t="shared" ref="F21:F33" si="32">SUM(B21:E21)</f>
        <v>-8011</v>
      </c>
      <c r="G21" s="70">
        <f>-G48</f>
        <v>-4790</v>
      </c>
      <c r="H21" s="70">
        <f>-H48</f>
        <v>-982</v>
      </c>
      <c r="I21" s="70">
        <f>-I48</f>
        <v>-579</v>
      </c>
      <c r="J21" s="70">
        <f t="shared" ref="J21" si="33">-J48</f>
        <v>-476</v>
      </c>
      <c r="K21" s="79">
        <f t="shared" ref="K21:K33" si="34">SUM(G21:J21)</f>
        <v>-6827</v>
      </c>
      <c r="L21" s="70">
        <v>-3605</v>
      </c>
      <c r="M21" s="70">
        <v>-2820</v>
      </c>
      <c r="N21" s="70">
        <v>-4248</v>
      </c>
      <c r="O21" s="70">
        <v>-6025</v>
      </c>
      <c r="P21" s="79">
        <f t="shared" ref="P21:P33" si="35">SUM(L21:O21)</f>
        <v>-16698</v>
      </c>
      <c r="Q21" s="70">
        <v>-1556</v>
      </c>
      <c r="R21" s="70">
        <v>-7427</v>
      </c>
      <c r="S21" s="70">
        <v>-5228</v>
      </c>
      <c r="T21" s="70">
        <v>-6343</v>
      </c>
      <c r="U21" s="79">
        <f t="shared" ref="U21:U33" si="36">SUM(Q21:T21)</f>
        <v>-20554</v>
      </c>
      <c r="V21" s="70">
        <v>-6498</v>
      </c>
      <c r="W21" s="70">
        <v>-2693</v>
      </c>
      <c r="X21" s="70">
        <v>-5249</v>
      </c>
    </row>
    <row r="22" spans="1:24" s="2" customFormat="1" ht="12" customHeight="1" x14ac:dyDescent="0.2">
      <c r="A22" s="1" t="s">
        <v>45</v>
      </c>
      <c r="B22" s="70">
        <f>-B41</f>
        <v>-8239</v>
      </c>
      <c r="C22" s="70">
        <f t="shared" ref="C22:E22" si="37">-C41</f>
        <v>-7401</v>
      </c>
      <c r="D22" s="70">
        <f t="shared" si="37"/>
        <v>-8480</v>
      </c>
      <c r="E22" s="70">
        <f t="shared" si="37"/>
        <v>-8091</v>
      </c>
      <c r="F22" s="79">
        <f t="shared" si="32"/>
        <v>-32211</v>
      </c>
      <c r="G22" s="70">
        <f t="shared" ref="G22:J22" si="38">-G41</f>
        <v>-6329</v>
      </c>
      <c r="H22" s="70">
        <f t="shared" si="38"/>
        <v>-6271</v>
      </c>
      <c r="I22" s="70">
        <f t="shared" si="38"/>
        <v>-8196</v>
      </c>
      <c r="J22" s="70">
        <f t="shared" si="38"/>
        <v>-7636</v>
      </c>
      <c r="K22" s="79">
        <f t="shared" si="34"/>
        <v>-28432</v>
      </c>
      <c r="L22" s="70">
        <v>-12196</v>
      </c>
      <c r="M22" s="70">
        <v>-20950</v>
      </c>
      <c r="N22" s="70">
        <v>-18836</v>
      </c>
      <c r="O22" s="70">
        <f>-18867+1</f>
        <v>-18866</v>
      </c>
      <c r="P22" s="79">
        <f t="shared" si="35"/>
        <v>-70848</v>
      </c>
      <c r="Q22" s="70">
        <v>-15797</v>
      </c>
      <c r="R22" s="70">
        <v>-16727</v>
      </c>
      <c r="S22" s="70">
        <v>-18786</v>
      </c>
      <c r="T22" s="70">
        <v>-19107</v>
      </c>
      <c r="U22" s="79">
        <f t="shared" si="36"/>
        <v>-70417</v>
      </c>
      <c r="V22" s="70">
        <v>-18638</v>
      </c>
      <c r="W22" s="70">
        <v>-17765</v>
      </c>
      <c r="X22" s="70">
        <v>-20187</v>
      </c>
    </row>
    <row r="23" spans="1:24" s="2" customFormat="1" ht="12.75" x14ac:dyDescent="0.2">
      <c r="A23" s="1" t="s">
        <v>7</v>
      </c>
      <c r="B23" s="70">
        <f>'Income Statements'!B18</f>
        <v>-6025</v>
      </c>
      <c r="C23" s="70">
        <f>'Income Statements'!C18</f>
        <v>-8206</v>
      </c>
      <c r="D23" s="70">
        <f>'Income Statements'!D18</f>
        <v>-7786</v>
      </c>
      <c r="E23" s="70">
        <f>'Income Statements'!E18</f>
        <v>-6924</v>
      </c>
      <c r="F23" s="79">
        <f t="shared" si="32"/>
        <v>-28941</v>
      </c>
      <c r="G23" s="70">
        <f>'Income Statements'!G18</f>
        <v>-4970</v>
      </c>
      <c r="H23" s="70">
        <f>'Income Statements'!H18</f>
        <v>-7348</v>
      </c>
      <c r="I23" s="70">
        <f>'Income Statements'!I18</f>
        <v>-7336</v>
      </c>
      <c r="J23" s="70">
        <f>'Income Statements'!J18</f>
        <v>-7395</v>
      </c>
      <c r="K23" s="79">
        <f t="shared" si="34"/>
        <v>-27049</v>
      </c>
      <c r="L23" s="70">
        <v>-5660</v>
      </c>
      <c r="M23" s="70">
        <v>-9356</v>
      </c>
      <c r="N23" s="70">
        <v>-10109</v>
      </c>
      <c r="O23" s="70">
        <v>-10102</v>
      </c>
      <c r="P23" s="79">
        <f t="shared" si="35"/>
        <v>-35227</v>
      </c>
      <c r="Q23" s="70">
        <v>-5464</v>
      </c>
      <c r="R23" s="70">
        <v>-7882</v>
      </c>
      <c r="S23" s="70">
        <v>-8475</v>
      </c>
      <c r="T23" s="70">
        <v>-8540</v>
      </c>
      <c r="U23" s="79">
        <f t="shared" si="36"/>
        <v>-30361</v>
      </c>
      <c r="V23" s="70">
        <v>-3698</v>
      </c>
      <c r="W23" s="70">
        <v>-8339</v>
      </c>
      <c r="X23" s="70">
        <v>-8557</v>
      </c>
    </row>
    <row r="24" spans="1:24" s="2" customFormat="1" ht="12.75" x14ac:dyDescent="0.2">
      <c r="A24" s="1" t="s">
        <v>161</v>
      </c>
      <c r="B24" s="70">
        <v>0</v>
      </c>
      <c r="C24" s="70">
        <v>0</v>
      </c>
      <c r="D24" s="70">
        <v>0</v>
      </c>
      <c r="E24" s="70">
        <v>0</v>
      </c>
      <c r="F24" s="79">
        <f t="shared" ref="F24:F25" si="39">SUM(B24:E24)</f>
        <v>0</v>
      </c>
      <c r="G24" s="70">
        <v>0</v>
      </c>
      <c r="H24" s="70">
        <v>0</v>
      </c>
      <c r="I24" s="70">
        <v>0</v>
      </c>
      <c r="J24" s="70">
        <v>0</v>
      </c>
      <c r="K24" s="79">
        <f t="shared" ref="K24" si="40">SUM(G24:J24)</f>
        <v>0</v>
      </c>
      <c r="L24" s="70">
        <v>0</v>
      </c>
      <c r="M24" s="70">
        <v>0</v>
      </c>
      <c r="N24" s="70">
        <v>0</v>
      </c>
      <c r="O24" s="70">
        <v>0</v>
      </c>
      <c r="P24" s="79">
        <f t="shared" ref="P24:P25" si="41">SUM(L24:O24)</f>
        <v>0</v>
      </c>
      <c r="Q24" s="70">
        <v>-5512</v>
      </c>
      <c r="R24" s="70">
        <v>0</v>
      </c>
      <c r="S24" s="70">
        <v>0</v>
      </c>
      <c r="T24" s="70">
        <v>0</v>
      </c>
      <c r="U24" s="79">
        <f t="shared" si="36"/>
        <v>-5512</v>
      </c>
      <c r="V24" s="70">
        <v>0</v>
      </c>
      <c r="W24" s="70">
        <v>0</v>
      </c>
      <c r="X24" s="70">
        <v>0</v>
      </c>
    </row>
    <row r="25" spans="1:24" s="2" customFormat="1" ht="12.75" x14ac:dyDescent="0.2">
      <c r="A25" s="1" t="s">
        <v>183</v>
      </c>
      <c r="B25" s="70">
        <v>0</v>
      </c>
      <c r="C25" s="70">
        <v>0</v>
      </c>
      <c r="D25" s="70">
        <v>0</v>
      </c>
      <c r="E25" s="70">
        <v>0</v>
      </c>
      <c r="F25" s="79">
        <f t="shared" si="39"/>
        <v>0</v>
      </c>
      <c r="G25" s="70">
        <v>0</v>
      </c>
      <c r="H25" s="70">
        <v>0</v>
      </c>
      <c r="I25" s="70">
        <v>0</v>
      </c>
      <c r="J25" s="70">
        <v>0</v>
      </c>
      <c r="K25" s="79">
        <f t="shared" si="34"/>
        <v>0</v>
      </c>
      <c r="L25" s="70">
        <v>0</v>
      </c>
      <c r="M25" s="70">
        <v>0</v>
      </c>
      <c r="N25" s="70">
        <v>0</v>
      </c>
      <c r="O25" s="70">
        <v>0</v>
      </c>
      <c r="P25" s="79">
        <f t="shared" si="41"/>
        <v>0</v>
      </c>
      <c r="Q25" s="70">
        <v>0</v>
      </c>
      <c r="R25" s="70">
        <v>0</v>
      </c>
      <c r="S25" s="70">
        <v>0</v>
      </c>
      <c r="T25" s="70">
        <v>0</v>
      </c>
      <c r="U25" s="79">
        <f t="shared" si="36"/>
        <v>0</v>
      </c>
      <c r="V25" s="70">
        <v>-42988</v>
      </c>
      <c r="W25" s="70">
        <v>0</v>
      </c>
      <c r="X25" s="70">
        <v>0</v>
      </c>
    </row>
    <row r="26" spans="1:24" s="2" customFormat="1" ht="12.75" x14ac:dyDescent="0.2">
      <c r="A26" s="1" t="s">
        <v>87</v>
      </c>
      <c r="B26" s="70">
        <f>'Income Statements'!B21</f>
        <v>-2096</v>
      </c>
      <c r="C26" s="70">
        <f>'Income Statements'!C21</f>
        <v>-2473</v>
      </c>
      <c r="D26" s="70">
        <f>'Income Statements'!D21</f>
        <v>-2285</v>
      </c>
      <c r="E26" s="70">
        <f>'Income Statements'!E21</f>
        <v>-2285</v>
      </c>
      <c r="F26" s="79">
        <f t="shared" si="32"/>
        <v>-9139</v>
      </c>
      <c r="G26" s="70">
        <f>'Income Statements'!G21</f>
        <v>-1906</v>
      </c>
      <c r="H26" s="70">
        <f>'Income Statements'!H21</f>
        <v>-1286</v>
      </c>
      <c r="I26" s="70">
        <f>'Income Statements'!I21</f>
        <v>-1596</v>
      </c>
      <c r="J26" s="70">
        <f>'Income Statements'!J21</f>
        <v>-1596</v>
      </c>
      <c r="K26" s="79">
        <f t="shared" si="34"/>
        <v>-6384</v>
      </c>
      <c r="L26" s="70">
        <v>-1857</v>
      </c>
      <c r="M26" s="70">
        <v>-1908</v>
      </c>
      <c r="N26" s="70">
        <v>-1942</v>
      </c>
      <c r="O26" s="70">
        <v>-1941</v>
      </c>
      <c r="P26" s="79">
        <f t="shared" si="35"/>
        <v>-7648</v>
      </c>
      <c r="Q26" s="70">
        <v>-980</v>
      </c>
      <c r="R26" s="70">
        <v>-889</v>
      </c>
      <c r="S26" s="70">
        <v>-935</v>
      </c>
      <c r="T26" s="70">
        <v>-935</v>
      </c>
      <c r="U26" s="79">
        <f t="shared" si="36"/>
        <v>-3739</v>
      </c>
      <c r="V26" s="70">
        <v>-3635</v>
      </c>
      <c r="W26" s="70">
        <v>-3478</v>
      </c>
      <c r="X26" s="70">
        <v>-3557</v>
      </c>
    </row>
    <row r="27" spans="1:24" s="2" customFormat="1" ht="12.75" x14ac:dyDescent="0.2">
      <c r="A27" s="1" t="s">
        <v>6</v>
      </c>
      <c r="B27" s="70">
        <v>0</v>
      </c>
      <c r="C27" s="70">
        <v>-48522</v>
      </c>
      <c r="D27" s="70">
        <v>0</v>
      </c>
      <c r="E27" s="70">
        <v>0</v>
      </c>
      <c r="F27" s="79">
        <f t="shared" si="32"/>
        <v>-48522</v>
      </c>
      <c r="G27" s="70">
        <v>0</v>
      </c>
      <c r="H27" s="70">
        <v>0</v>
      </c>
      <c r="I27" s="70">
        <v>0</v>
      </c>
      <c r="J27" s="70">
        <v>0</v>
      </c>
      <c r="K27" s="79">
        <f t="shared" si="34"/>
        <v>0</v>
      </c>
      <c r="L27" s="70">
        <v>0</v>
      </c>
      <c r="M27" s="70">
        <v>0</v>
      </c>
      <c r="N27" s="70">
        <v>0</v>
      </c>
      <c r="O27" s="70">
        <v>0</v>
      </c>
      <c r="P27" s="79">
        <f t="shared" si="35"/>
        <v>0</v>
      </c>
      <c r="Q27" s="70">
        <v>0</v>
      </c>
      <c r="R27" s="70">
        <v>0</v>
      </c>
      <c r="S27" s="70">
        <v>0</v>
      </c>
      <c r="T27" s="70">
        <v>0</v>
      </c>
      <c r="U27" s="79">
        <f t="shared" si="36"/>
        <v>0</v>
      </c>
      <c r="V27" s="70">
        <v>0</v>
      </c>
      <c r="W27" s="70">
        <v>0</v>
      </c>
      <c r="X27" s="70">
        <v>0</v>
      </c>
    </row>
    <row r="28" spans="1:24" s="2" customFormat="1" ht="12.75" x14ac:dyDescent="0.2">
      <c r="A28" s="1" t="s">
        <v>112</v>
      </c>
      <c r="B28" s="70">
        <f>-'Income Statements'!B50</f>
        <v>1</v>
      </c>
      <c r="C28" s="70">
        <f>-'Income Statements'!C50</f>
        <v>4</v>
      </c>
      <c r="D28" s="70">
        <f>-'Income Statements'!D50</f>
        <v>0</v>
      </c>
      <c r="E28" s="70">
        <f>-'Income Statements'!E50</f>
        <v>1</v>
      </c>
      <c r="F28" s="79">
        <f t="shared" si="32"/>
        <v>6</v>
      </c>
      <c r="G28" s="70">
        <v>14</v>
      </c>
      <c r="H28" s="70">
        <v>-30</v>
      </c>
      <c r="I28" s="70">
        <v>0</v>
      </c>
      <c r="J28" s="70">
        <f>-204+16</f>
        <v>-188</v>
      </c>
      <c r="K28" s="79">
        <f t="shared" si="34"/>
        <v>-204</v>
      </c>
      <c r="L28" s="70">
        <v>4</v>
      </c>
      <c r="M28" s="70">
        <v>-3</v>
      </c>
      <c r="N28" s="70">
        <v>-12</v>
      </c>
      <c r="O28" s="70">
        <v>-714</v>
      </c>
      <c r="P28" s="79">
        <f t="shared" si="35"/>
        <v>-725</v>
      </c>
      <c r="Q28" s="70">
        <v>32</v>
      </c>
      <c r="R28" s="70">
        <v>30</v>
      </c>
      <c r="S28" s="70">
        <v>198</v>
      </c>
      <c r="T28" s="70">
        <v>-1125</v>
      </c>
      <c r="U28" s="79">
        <f t="shared" si="36"/>
        <v>-865</v>
      </c>
      <c r="V28" s="70">
        <v>192</v>
      </c>
      <c r="W28" s="70">
        <v>-7</v>
      </c>
      <c r="X28" s="70">
        <v>11</v>
      </c>
    </row>
    <row r="29" spans="1:24" s="2" customFormat="1" ht="12.75" x14ac:dyDescent="0.2">
      <c r="A29" s="1" t="s">
        <v>159</v>
      </c>
      <c r="B29" s="70">
        <v>0</v>
      </c>
      <c r="C29" s="70">
        <v>0</v>
      </c>
      <c r="D29" s="70">
        <v>0</v>
      </c>
      <c r="E29" s="70">
        <v>0</v>
      </c>
      <c r="F29" s="79">
        <f t="shared" ref="F29" si="42">SUM(B29:E29)</f>
        <v>0</v>
      </c>
      <c r="G29" s="70">
        <v>0</v>
      </c>
      <c r="H29" s="70">
        <v>0</v>
      </c>
      <c r="I29" s="70">
        <v>0</v>
      </c>
      <c r="J29" s="70">
        <v>0</v>
      </c>
      <c r="K29" s="79">
        <f t="shared" ref="K29" si="43">SUM(G29:J29)</f>
        <v>0</v>
      </c>
      <c r="L29" s="70">
        <v>0</v>
      </c>
      <c r="M29" s="70">
        <v>0</v>
      </c>
      <c r="N29" s="70">
        <v>0</v>
      </c>
      <c r="O29" s="70">
        <v>0</v>
      </c>
      <c r="P29" s="79">
        <f t="shared" ref="P29" si="44">SUM(L29:O29)</f>
        <v>0</v>
      </c>
      <c r="Q29" s="70">
        <v>9176</v>
      </c>
      <c r="R29" s="70">
        <v>0</v>
      </c>
      <c r="S29" s="70">
        <v>0</v>
      </c>
      <c r="T29" s="70">
        <v>0</v>
      </c>
      <c r="U29" s="79">
        <f t="shared" si="36"/>
        <v>9176</v>
      </c>
      <c r="V29" s="70">
        <v>0</v>
      </c>
      <c r="W29" s="70">
        <v>0</v>
      </c>
      <c r="X29" s="70">
        <v>0</v>
      </c>
    </row>
    <row r="30" spans="1:24" s="2" customFormat="1" ht="12.75" x14ac:dyDescent="0.2">
      <c r="A30" s="1" t="s">
        <v>113</v>
      </c>
      <c r="B30" s="70">
        <v>0</v>
      </c>
      <c r="C30" s="70">
        <v>0</v>
      </c>
      <c r="D30" s="70">
        <v>0</v>
      </c>
      <c r="E30" s="70">
        <v>0</v>
      </c>
      <c r="F30" s="79">
        <f t="shared" si="32"/>
        <v>0</v>
      </c>
      <c r="G30" s="70">
        <v>0</v>
      </c>
      <c r="H30" s="70">
        <v>3265</v>
      </c>
      <c r="I30" s="70">
        <v>-3066</v>
      </c>
      <c r="J30" s="70">
        <f>0-199</f>
        <v>-199</v>
      </c>
      <c r="K30" s="79">
        <f t="shared" si="34"/>
        <v>0</v>
      </c>
      <c r="L30" s="70">
        <v>0</v>
      </c>
      <c r="M30" s="70">
        <v>0</v>
      </c>
      <c r="N30" s="70">
        <v>0</v>
      </c>
      <c r="O30" s="70">
        <v>0</v>
      </c>
      <c r="P30" s="79">
        <f t="shared" si="35"/>
        <v>0</v>
      </c>
      <c r="Q30" s="70">
        <v>0</v>
      </c>
      <c r="R30" s="70">
        <v>0</v>
      </c>
      <c r="S30" s="70">
        <v>0</v>
      </c>
      <c r="T30" s="70">
        <v>0</v>
      </c>
      <c r="U30" s="79">
        <f t="shared" si="36"/>
        <v>0</v>
      </c>
      <c r="V30" s="70">
        <v>0</v>
      </c>
      <c r="W30" s="70">
        <v>0</v>
      </c>
      <c r="X30" s="70">
        <v>0</v>
      </c>
    </row>
    <row r="31" spans="1:24" s="2" customFormat="1" ht="12.75" x14ac:dyDescent="0.2">
      <c r="A31" s="1" t="s">
        <v>99</v>
      </c>
      <c r="B31" s="70">
        <v>0</v>
      </c>
      <c r="C31" s="70">
        <v>0</v>
      </c>
      <c r="D31" s="70">
        <v>0</v>
      </c>
      <c r="E31" s="70">
        <v>0</v>
      </c>
      <c r="F31" s="79">
        <f t="shared" si="32"/>
        <v>0</v>
      </c>
      <c r="G31" s="70">
        <v>0</v>
      </c>
      <c r="H31" s="70">
        <v>0</v>
      </c>
      <c r="I31" s="70">
        <v>0</v>
      </c>
      <c r="J31" s="70">
        <v>0</v>
      </c>
      <c r="K31" s="79">
        <f t="shared" si="34"/>
        <v>0</v>
      </c>
      <c r="L31" s="70">
        <v>-1849</v>
      </c>
      <c r="M31" s="70">
        <v>0</v>
      </c>
      <c r="N31" s="70">
        <v>0</v>
      </c>
      <c r="O31" s="70">
        <v>0</v>
      </c>
      <c r="P31" s="79">
        <f t="shared" si="35"/>
        <v>-1849</v>
      </c>
      <c r="Q31" s="70">
        <v>0</v>
      </c>
      <c r="R31" s="70">
        <v>0</v>
      </c>
      <c r="S31" s="70">
        <v>0</v>
      </c>
      <c r="T31" s="70">
        <v>0</v>
      </c>
      <c r="U31" s="79">
        <f t="shared" si="36"/>
        <v>0</v>
      </c>
      <c r="V31" s="70">
        <v>0</v>
      </c>
      <c r="W31" s="70">
        <v>0</v>
      </c>
      <c r="X31" s="70">
        <v>0</v>
      </c>
    </row>
    <row r="32" spans="1:24" s="2" customFormat="1" ht="12.75" x14ac:dyDescent="0.2">
      <c r="A32" s="1" t="s">
        <v>5</v>
      </c>
      <c r="B32" s="70">
        <v>-220</v>
      </c>
      <c r="C32" s="70">
        <v>-802</v>
      </c>
      <c r="D32" s="70">
        <v>0</v>
      </c>
      <c r="E32" s="70">
        <v>0</v>
      </c>
      <c r="F32" s="79">
        <f t="shared" si="32"/>
        <v>-1022</v>
      </c>
      <c r="G32" s="70">
        <v>0</v>
      </c>
      <c r="H32" s="70">
        <v>0</v>
      </c>
      <c r="I32" s="70">
        <v>-4978</v>
      </c>
      <c r="J32" s="70">
        <v>0</v>
      </c>
      <c r="K32" s="79">
        <f t="shared" si="34"/>
        <v>-4978</v>
      </c>
      <c r="L32" s="70">
        <v>0</v>
      </c>
      <c r="M32" s="70">
        <v>0</v>
      </c>
      <c r="N32" s="70">
        <v>0</v>
      </c>
      <c r="O32" s="70">
        <v>0</v>
      </c>
      <c r="P32" s="79">
        <f t="shared" si="35"/>
        <v>0</v>
      </c>
      <c r="Q32" s="70">
        <v>0</v>
      </c>
      <c r="R32" s="70">
        <v>0</v>
      </c>
      <c r="S32" s="70">
        <v>0</v>
      </c>
      <c r="T32" s="70">
        <v>0</v>
      </c>
      <c r="U32" s="79">
        <f t="shared" si="36"/>
        <v>0</v>
      </c>
      <c r="V32" s="70">
        <v>0</v>
      </c>
      <c r="W32" s="70">
        <v>0</v>
      </c>
      <c r="X32" s="70">
        <v>0</v>
      </c>
    </row>
    <row r="33" spans="1:24" s="2" customFormat="1" ht="12.75" x14ac:dyDescent="0.2">
      <c r="A33" s="1" t="s">
        <v>4</v>
      </c>
      <c r="B33" s="72">
        <v>0</v>
      </c>
      <c r="C33" s="72">
        <v>0</v>
      </c>
      <c r="D33" s="72">
        <v>0</v>
      </c>
      <c r="E33" s="72">
        <v>0</v>
      </c>
      <c r="F33" s="81">
        <f t="shared" si="32"/>
        <v>0</v>
      </c>
      <c r="G33" s="72">
        <v>0</v>
      </c>
      <c r="H33" s="72">
        <v>0</v>
      </c>
      <c r="I33" s="72">
        <v>-27</v>
      </c>
      <c r="J33" s="72">
        <f>-3409+27</f>
        <v>-3382</v>
      </c>
      <c r="K33" s="81">
        <f t="shared" si="34"/>
        <v>-3409</v>
      </c>
      <c r="L33" s="72">
        <v>-19255</v>
      </c>
      <c r="M33" s="72">
        <v>-1018</v>
      </c>
      <c r="N33" s="72">
        <v>-972</v>
      </c>
      <c r="O33" s="72">
        <v>-874</v>
      </c>
      <c r="P33" s="81">
        <f t="shared" si="35"/>
        <v>-22119</v>
      </c>
      <c r="Q33" s="72">
        <v>0</v>
      </c>
      <c r="R33" s="72">
        <v>0</v>
      </c>
      <c r="S33" s="72">
        <v>0</v>
      </c>
      <c r="T33" s="72">
        <v>0</v>
      </c>
      <c r="U33" s="81">
        <f t="shared" si="36"/>
        <v>0</v>
      </c>
      <c r="V33" s="72">
        <v>0</v>
      </c>
      <c r="W33" s="72">
        <v>0</v>
      </c>
      <c r="X33" s="72">
        <v>0</v>
      </c>
    </row>
    <row r="34" spans="1:24" s="2" customFormat="1" ht="13.5" thickBot="1" x14ac:dyDescent="0.25">
      <c r="A34" s="1" t="s">
        <v>140</v>
      </c>
      <c r="B34" s="55">
        <f>SUM(B20:B33)</f>
        <v>-953</v>
      </c>
      <c r="C34" s="55">
        <f>SUM(C20:C33)</f>
        <v>-42434</v>
      </c>
      <c r="D34" s="55">
        <f>SUM(D20:D33)</f>
        <v>31208</v>
      </c>
      <c r="E34" s="55">
        <f>SUM(E20:E33)</f>
        <v>18792</v>
      </c>
      <c r="F34" s="59">
        <f>SUM(F20:F33)</f>
        <v>6613</v>
      </c>
      <c r="G34" s="55">
        <f t="shared" ref="G34" si="45">SUM(G20:G33)</f>
        <v>18939</v>
      </c>
      <c r="H34" s="55">
        <f t="shared" ref="H34" si="46">SUM(H20:H33)</f>
        <v>33425</v>
      </c>
      <c r="I34" s="55">
        <f t="shared" ref="I34" si="47">SUM(I20:I33)</f>
        <v>36457</v>
      </c>
      <c r="J34" s="55">
        <f t="shared" ref="J34:P34" si="48">SUM(J20:J33)</f>
        <v>29653</v>
      </c>
      <c r="K34" s="59">
        <f t="shared" si="48"/>
        <v>118474</v>
      </c>
      <c r="L34" s="55">
        <f t="shared" si="48"/>
        <v>20314</v>
      </c>
      <c r="M34" s="55">
        <f t="shared" si="48"/>
        <v>58153</v>
      </c>
      <c r="N34" s="55">
        <f t="shared" si="48"/>
        <v>65691</v>
      </c>
      <c r="O34" s="55">
        <f t="shared" si="48"/>
        <v>-2079</v>
      </c>
      <c r="P34" s="59">
        <f t="shared" si="48"/>
        <v>142079</v>
      </c>
      <c r="Q34" s="55">
        <f t="shared" ref="Q34:R34" si="49">SUM(Q20:Q33)</f>
        <v>8151</v>
      </c>
      <c r="R34" s="55">
        <f t="shared" si="49"/>
        <v>16185</v>
      </c>
      <c r="S34" s="55">
        <f t="shared" ref="S34:U34" si="50">SUM(S20:S33)</f>
        <v>21786</v>
      </c>
      <c r="T34" s="55">
        <f t="shared" si="50"/>
        <v>10549</v>
      </c>
      <c r="U34" s="59">
        <f t="shared" si="50"/>
        <v>56671</v>
      </c>
      <c r="V34" s="55">
        <f t="shared" ref="V34:W34" si="51">SUM(V20:V33)</f>
        <v>-27694</v>
      </c>
      <c r="W34" s="55">
        <f t="shared" si="51"/>
        <v>3091</v>
      </c>
      <c r="X34" s="55">
        <f t="shared" ref="X34" si="52">SUM(X20:X33)</f>
        <v>97847</v>
      </c>
    </row>
    <row r="35" spans="1:24" s="2" customFormat="1" ht="13.5" thickTop="1" x14ac:dyDescent="0.2">
      <c r="A35" s="1"/>
      <c r="B35" s="13"/>
      <c r="C35" s="13"/>
      <c r="D35" s="13"/>
      <c r="E35" s="13"/>
      <c r="F35" s="13"/>
      <c r="G35" s="13"/>
      <c r="H35" s="13"/>
      <c r="I35" s="13"/>
      <c r="J35" s="13"/>
      <c r="K35" s="13"/>
      <c r="L35" s="13"/>
      <c r="M35" s="13"/>
      <c r="N35" s="13"/>
      <c r="O35" s="13"/>
      <c r="P35" s="13"/>
      <c r="Q35" s="13"/>
      <c r="R35" s="13"/>
      <c r="S35" s="13"/>
      <c r="T35" s="13"/>
      <c r="U35" s="13"/>
      <c r="V35" s="13"/>
      <c r="W35" s="13"/>
      <c r="X35" s="13"/>
    </row>
    <row r="36" spans="1:24" s="2" customFormat="1" ht="12.75" x14ac:dyDescent="0.2">
      <c r="A36" s="67" t="s">
        <v>88</v>
      </c>
      <c r="B36" s="75"/>
      <c r="C36" s="75"/>
      <c r="D36" s="75"/>
      <c r="E36" s="75"/>
      <c r="F36" s="82"/>
      <c r="G36" s="3"/>
      <c r="H36" s="3"/>
      <c r="I36" s="3"/>
      <c r="J36" s="3"/>
      <c r="K36" s="82"/>
      <c r="L36" s="3"/>
      <c r="M36" s="3"/>
      <c r="N36" s="3"/>
      <c r="O36" s="3"/>
      <c r="P36" s="82"/>
      <c r="Q36" s="3"/>
      <c r="R36" s="3"/>
      <c r="S36" s="3"/>
      <c r="T36" s="3"/>
      <c r="U36" s="82"/>
      <c r="V36" s="3"/>
      <c r="W36" s="3"/>
      <c r="X36" s="3"/>
    </row>
    <row r="37" spans="1:24" s="2" customFormat="1" ht="12.75" x14ac:dyDescent="0.2">
      <c r="A37" s="14" t="s">
        <v>177</v>
      </c>
      <c r="B37" s="40">
        <v>6128</v>
      </c>
      <c r="C37" s="40">
        <v>5387</v>
      </c>
      <c r="D37" s="40">
        <v>6456</v>
      </c>
      <c r="E37" s="40">
        <v>6119</v>
      </c>
      <c r="F37" s="46">
        <f t="shared" ref="F37:F39" si="53">SUM(B37:E37)</f>
        <v>24090</v>
      </c>
      <c r="G37" s="40">
        <v>4384</v>
      </c>
      <c r="H37" s="40">
        <v>4274</v>
      </c>
      <c r="I37" s="40">
        <v>6207</v>
      </c>
      <c r="J37" s="40">
        <v>5611</v>
      </c>
      <c r="K37" s="46">
        <f t="shared" ref="K37:K39" si="54">SUM(G37:J37)</f>
        <v>20476</v>
      </c>
      <c r="L37" s="40">
        <v>8646</v>
      </c>
      <c r="M37" s="40">
        <v>14598</v>
      </c>
      <c r="N37" s="40">
        <v>12730</v>
      </c>
      <c r="O37" s="40">
        <v>12227</v>
      </c>
      <c r="P37" s="46">
        <f t="shared" ref="P37:P39" si="55">SUM(L37:O37)</f>
        <v>48201</v>
      </c>
      <c r="Q37" s="40">
        <v>10265</v>
      </c>
      <c r="R37" s="40">
        <v>10469</v>
      </c>
      <c r="S37" s="40">
        <v>12627</v>
      </c>
      <c r="T37" s="40">
        <v>13240</v>
      </c>
      <c r="U37" s="46">
        <f t="shared" ref="U37:U39" si="56">SUM(Q37:T37)</f>
        <v>46601</v>
      </c>
      <c r="V37" s="40">
        <v>12591</v>
      </c>
      <c r="W37" s="40">
        <v>11566</v>
      </c>
      <c r="X37" s="40">
        <v>13821</v>
      </c>
    </row>
    <row r="38" spans="1:24" s="2" customFormat="1" ht="12.75" x14ac:dyDescent="0.2">
      <c r="A38" s="14" t="s">
        <v>80</v>
      </c>
      <c r="B38" s="5">
        <v>1901</v>
      </c>
      <c r="C38" s="5">
        <v>1800</v>
      </c>
      <c r="D38" s="5">
        <v>1837</v>
      </c>
      <c r="E38" s="5">
        <v>1819</v>
      </c>
      <c r="F38" s="25">
        <f t="shared" si="53"/>
        <v>7357</v>
      </c>
      <c r="G38" s="5">
        <v>1827</v>
      </c>
      <c r="H38" s="5">
        <v>1839</v>
      </c>
      <c r="I38" s="5">
        <v>1821</v>
      </c>
      <c r="J38" s="5">
        <v>1860</v>
      </c>
      <c r="K38" s="25">
        <f t="shared" si="54"/>
        <v>7347</v>
      </c>
      <c r="L38" s="5">
        <v>3354</v>
      </c>
      <c r="M38" s="5">
        <v>6069</v>
      </c>
      <c r="N38" s="5">
        <v>5827</v>
      </c>
      <c r="O38" s="5">
        <v>6166</v>
      </c>
      <c r="P38" s="25">
        <f t="shared" si="55"/>
        <v>21416</v>
      </c>
      <c r="Q38" s="5">
        <v>5042</v>
      </c>
      <c r="R38" s="5">
        <v>5861</v>
      </c>
      <c r="S38" s="5">
        <v>5763</v>
      </c>
      <c r="T38" s="5">
        <v>5393</v>
      </c>
      <c r="U38" s="25">
        <f t="shared" si="56"/>
        <v>22059</v>
      </c>
      <c r="V38" s="5">
        <v>5630</v>
      </c>
      <c r="W38" s="5">
        <v>5798</v>
      </c>
      <c r="X38" s="5">
        <v>5983</v>
      </c>
    </row>
    <row r="39" spans="1:24" s="2" customFormat="1" ht="12.75" x14ac:dyDescent="0.2">
      <c r="A39" s="14" t="s">
        <v>81</v>
      </c>
      <c r="B39" s="89">
        <v>2</v>
      </c>
      <c r="C39" s="89">
        <v>1</v>
      </c>
      <c r="D39" s="89">
        <v>0</v>
      </c>
      <c r="E39" s="89">
        <v>1</v>
      </c>
      <c r="F39" s="88">
        <f t="shared" si="53"/>
        <v>4</v>
      </c>
      <c r="G39" s="11">
        <v>1</v>
      </c>
      <c r="H39" s="11">
        <v>0</v>
      </c>
      <c r="I39" s="11">
        <v>0</v>
      </c>
      <c r="J39" s="11">
        <v>1</v>
      </c>
      <c r="K39" s="88">
        <f t="shared" si="54"/>
        <v>2</v>
      </c>
      <c r="L39" s="89">
        <v>40</v>
      </c>
      <c r="M39" s="89">
        <v>77</v>
      </c>
      <c r="N39" s="89">
        <v>81</v>
      </c>
      <c r="O39" s="89">
        <v>220</v>
      </c>
      <c r="P39" s="88">
        <f t="shared" si="55"/>
        <v>418</v>
      </c>
      <c r="Q39" s="89">
        <v>209</v>
      </c>
      <c r="R39" s="89">
        <v>147</v>
      </c>
      <c r="S39" s="89">
        <v>152</v>
      </c>
      <c r="T39" s="89">
        <v>170</v>
      </c>
      <c r="U39" s="88">
        <f t="shared" si="56"/>
        <v>678</v>
      </c>
      <c r="V39" s="89">
        <v>160</v>
      </c>
      <c r="W39" s="89">
        <v>156</v>
      </c>
      <c r="X39" s="89">
        <v>149</v>
      </c>
    </row>
    <row r="40" spans="1:24" s="2" customFormat="1" ht="12.75" x14ac:dyDescent="0.2">
      <c r="A40" s="14" t="s">
        <v>84</v>
      </c>
      <c r="B40" s="5">
        <v>208</v>
      </c>
      <c r="C40" s="5">
        <v>213</v>
      </c>
      <c r="D40" s="5">
        <v>187</v>
      </c>
      <c r="E40" s="5">
        <v>152</v>
      </c>
      <c r="F40" s="25">
        <f>SUM(B40:E40)</f>
        <v>760</v>
      </c>
      <c r="G40" s="5">
        <v>117</v>
      </c>
      <c r="H40" s="5">
        <v>158</v>
      </c>
      <c r="I40" s="5">
        <v>168</v>
      </c>
      <c r="J40" s="5">
        <v>164</v>
      </c>
      <c r="K40" s="25">
        <f>SUM(G40:J40)</f>
        <v>607</v>
      </c>
      <c r="L40" s="5">
        <v>156</v>
      </c>
      <c r="M40" s="5">
        <v>206</v>
      </c>
      <c r="N40" s="5">
        <v>198</v>
      </c>
      <c r="O40" s="5">
        <v>253</v>
      </c>
      <c r="P40" s="25">
        <f>SUM(L40:O40)</f>
        <v>813</v>
      </c>
      <c r="Q40" s="5">
        <v>281</v>
      </c>
      <c r="R40" s="5">
        <v>250</v>
      </c>
      <c r="S40" s="5">
        <v>244</v>
      </c>
      <c r="T40" s="5">
        <v>304</v>
      </c>
      <c r="U40" s="25">
        <f>SUM(Q40:T40)</f>
        <v>1079</v>
      </c>
      <c r="V40" s="5">
        <v>257</v>
      </c>
      <c r="W40" s="5">
        <v>245</v>
      </c>
      <c r="X40" s="5">
        <v>234</v>
      </c>
    </row>
    <row r="41" spans="1:24" s="2" customFormat="1" ht="12.75" x14ac:dyDescent="0.2">
      <c r="A41" s="68"/>
      <c r="B41" s="10">
        <f>SUM(B37:B40)</f>
        <v>8239</v>
      </c>
      <c r="C41" s="10">
        <f t="shared" ref="C41:P41" si="57">SUM(C37:C40)</f>
        <v>7401</v>
      </c>
      <c r="D41" s="10">
        <f t="shared" si="57"/>
        <v>8480</v>
      </c>
      <c r="E41" s="10">
        <f t="shared" si="57"/>
        <v>8091</v>
      </c>
      <c r="F41" s="28">
        <f t="shared" si="57"/>
        <v>32211</v>
      </c>
      <c r="G41" s="10">
        <f t="shared" si="57"/>
        <v>6329</v>
      </c>
      <c r="H41" s="10">
        <f t="shared" si="57"/>
        <v>6271</v>
      </c>
      <c r="I41" s="10">
        <f t="shared" si="57"/>
        <v>8196</v>
      </c>
      <c r="J41" s="10">
        <f t="shared" si="57"/>
        <v>7636</v>
      </c>
      <c r="K41" s="28">
        <f t="shared" si="57"/>
        <v>28432</v>
      </c>
      <c r="L41" s="10">
        <f t="shared" si="57"/>
        <v>12196</v>
      </c>
      <c r="M41" s="10">
        <f t="shared" si="57"/>
        <v>20950</v>
      </c>
      <c r="N41" s="10">
        <f t="shared" si="57"/>
        <v>18836</v>
      </c>
      <c r="O41" s="10">
        <f t="shared" si="57"/>
        <v>18866</v>
      </c>
      <c r="P41" s="28">
        <f t="shared" si="57"/>
        <v>70848</v>
      </c>
      <c r="Q41" s="10">
        <f t="shared" ref="Q41:R41" si="58">SUM(Q37:Q40)</f>
        <v>15797</v>
      </c>
      <c r="R41" s="10">
        <f t="shared" si="58"/>
        <v>16727</v>
      </c>
      <c r="S41" s="10">
        <f t="shared" ref="S41:U41" si="59">SUM(S37:S40)</f>
        <v>18786</v>
      </c>
      <c r="T41" s="10">
        <f t="shared" si="59"/>
        <v>19107</v>
      </c>
      <c r="U41" s="28">
        <f t="shared" si="59"/>
        <v>70417</v>
      </c>
      <c r="V41" s="10">
        <f t="shared" ref="V41:W41" si="60">SUM(V37:V40)</f>
        <v>18638</v>
      </c>
      <c r="W41" s="10">
        <f t="shared" si="60"/>
        <v>17765</v>
      </c>
      <c r="X41" s="10">
        <f t="shared" ref="X41" si="61">SUM(X37:X40)</f>
        <v>20187</v>
      </c>
    </row>
    <row r="42" spans="1:24" s="2" customFormat="1" ht="12.75" x14ac:dyDescent="0.2">
      <c r="A42" s="14" t="s">
        <v>89</v>
      </c>
      <c r="B42" s="11">
        <v>366</v>
      </c>
      <c r="C42" s="11">
        <v>468</v>
      </c>
      <c r="D42" s="11">
        <v>769</v>
      </c>
      <c r="E42" s="11">
        <v>376</v>
      </c>
      <c r="F42" s="29">
        <f t="shared" ref="F42" si="62">SUM(B42:E42)</f>
        <v>1979</v>
      </c>
      <c r="G42" s="11">
        <v>373</v>
      </c>
      <c r="H42" s="11">
        <v>370</v>
      </c>
      <c r="I42" s="11">
        <v>369</v>
      </c>
      <c r="J42" s="11">
        <v>368</v>
      </c>
      <c r="K42" s="29">
        <f t="shared" ref="K42" si="63">SUM(G42:J42)</f>
        <v>1480</v>
      </c>
      <c r="L42" s="11">
        <v>439</v>
      </c>
      <c r="M42" s="11">
        <v>655</v>
      </c>
      <c r="N42" s="11">
        <v>609</v>
      </c>
      <c r="O42" s="11">
        <v>610</v>
      </c>
      <c r="P42" s="29">
        <f t="shared" ref="P42" si="64">SUM(L42:O42)</f>
        <v>2313</v>
      </c>
      <c r="Q42" s="11">
        <v>477</v>
      </c>
      <c r="R42" s="11">
        <v>410</v>
      </c>
      <c r="S42" s="11">
        <v>392</v>
      </c>
      <c r="T42" s="11">
        <v>409</v>
      </c>
      <c r="U42" s="29">
        <f t="shared" ref="U42" si="65">SUM(Q42:T42)</f>
        <v>1688</v>
      </c>
      <c r="V42" s="11">
        <v>406</v>
      </c>
      <c r="W42" s="11">
        <v>406</v>
      </c>
      <c r="X42" s="11">
        <v>407</v>
      </c>
    </row>
    <row r="43" spans="1:24" s="2" customFormat="1" ht="13.5" thickBot="1" x14ac:dyDescent="0.25">
      <c r="A43" s="1" t="s">
        <v>90</v>
      </c>
      <c r="B43" s="12">
        <f t="shared" ref="B43:P43" si="66">SUM(B41:B42)</f>
        <v>8605</v>
      </c>
      <c r="C43" s="12">
        <f t="shared" si="66"/>
        <v>7869</v>
      </c>
      <c r="D43" s="12">
        <f t="shared" si="66"/>
        <v>9249</v>
      </c>
      <c r="E43" s="12">
        <f t="shared" si="66"/>
        <v>8467</v>
      </c>
      <c r="F43" s="30">
        <f t="shared" si="66"/>
        <v>34190</v>
      </c>
      <c r="G43" s="12">
        <f t="shared" si="66"/>
        <v>6702</v>
      </c>
      <c r="H43" s="12">
        <f t="shared" si="66"/>
        <v>6641</v>
      </c>
      <c r="I43" s="12">
        <f t="shared" si="66"/>
        <v>8565</v>
      </c>
      <c r="J43" s="12">
        <f t="shared" si="66"/>
        <v>8004</v>
      </c>
      <c r="K43" s="30">
        <f t="shared" si="66"/>
        <v>29912</v>
      </c>
      <c r="L43" s="12">
        <f t="shared" si="66"/>
        <v>12635</v>
      </c>
      <c r="M43" s="12">
        <f t="shared" si="66"/>
        <v>21605</v>
      </c>
      <c r="N43" s="12">
        <f t="shared" si="66"/>
        <v>19445</v>
      </c>
      <c r="O43" s="12">
        <f t="shared" si="66"/>
        <v>19476</v>
      </c>
      <c r="P43" s="30">
        <f t="shared" si="66"/>
        <v>73161</v>
      </c>
      <c r="Q43" s="12">
        <f t="shared" ref="Q43:R43" si="67">SUM(Q41:Q42)</f>
        <v>16274</v>
      </c>
      <c r="R43" s="12">
        <f t="shared" si="67"/>
        <v>17137</v>
      </c>
      <c r="S43" s="12">
        <f t="shared" ref="S43:U43" si="68">SUM(S41:S42)</f>
        <v>19178</v>
      </c>
      <c r="T43" s="12">
        <f t="shared" si="68"/>
        <v>19516</v>
      </c>
      <c r="U43" s="30">
        <f t="shared" si="68"/>
        <v>72105</v>
      </c>
      <c r="V43" s="12">
        <f t="shared" ref="V43:W43" si="69">SUM(V41:V42)</f>
        <v>19044</v>
      </c>
      <c r="W43" s="12">
        <f t="shared" si="69"/>
        <v>18171</v>
      </c>
      <c r="X43" s="12">
        <f t="shared" ref="X43" si="70">SUM(X41:X42)</f>
        <v>20594</v>
      </c>
    </row>
    <row r="44" spans="1:24" s="2" customFormat="1" ht="13.5" thickTop="1" x14ac:dyDescent="0.2">
      <c r="A44" s="1"/>
      <c r="B44" s="13"/>
      <c r="C44" s="13"/>
      <c r="D44" s="13"/>
      <c r="E44" s="13"/>
      <c r="F44" s="13"/>
      <c r="G44" s="13"/>
      <c r="H44" s="13"/>
      <c r="I44" s="13"/>
      <c r="J44" s="13"/>
      <c r="K44" s="13"/>
      <c r="L44" s="13"/>
      <c r="M44" s="13"/>
      <c r="N44" s="13"/>
      <c r="O44" s="13"/>
      <c r="P44" s="13"/>
      <c r="Q44" s="13"/>
      <c r="R44" s="13"/>
      <c r="S44" s="13"/>
      <c r="T44" s="13"/>
      <c r="U44" s="13"/>
      <c r="V44" s="13"/>
      <c r="W44" s="13"/>
      <c r="X44" s="13"/>
    </row>
    <row r="45" spans="1:24" s="2" customFormat="1" ht="12.75" x14ac:dyDescent="0.2">
      <c r="A45" s="67" t="s">
        <v>91</v>
      </c>
      <c r="B45" s="3"/>
      <c r="C45" s="3"/>
      <c r="D45" s="3"/>
      <c r="E45" s="3"/>
      <c r="F45" s="24"/>
      <c r="G45" s="3"/>
      <c r="H45" s="3"/>
      <c r="I45" s="3"/>
      <c r="J45" s="3"/>
      <c r="K45" s="24"/>
      <c r="L45" s="3"/>
      <c r="M45" s="3"/>
      <c r="N45" s="3"/>
      <c r="O45" s="3"/>
      <c r="P45" s="24"/>
      <c r="Q45" s="3"/>
      <c r="R45" s="3"/>
      <c r="S45" s="3"/>
      <c r="T45" s="3"/>
      <c r="U45" s="24"/>
      <c r="V45" s="3"/>
      <c r="W45" s="3"/>
      <c r="X45" s="3"/>
    </row>
    <row r="46" spans="1:24" s="2" customFormat="1" ht="12.75" x14ac:dyDescent="0.2">
      <c r="A46" s="14" t="s">
        <v>81</v>
      </c>
      <c r="B46" s="40">
        <v>2245</v>
      </c>
      <c r="C46" s="40">
        <v>3509</v>
      </c>
      <c r="D46" s="40">
        <v>1364</v>
      </c>
      <c r="E46" s="40">
        <v>1400</v>
      </c>
      <c r="F46" s="46">
        <f t="shared" ref="F46:F47" si="71">SUM(B46:E46)</f>
        <v>8518</v>
      </c>
      <c r="G46" s="40">
        <v>4809</v>
      </c>
      <c r="H46" s="40">
        <v>1047</v>
      </c>
      <c r="I46" s="40">
        <v>618</v>
      </c>
      <c r="J46" s="40">
        <v>640</v>
      </c>
      <c r="K46" s="46">
        <f t="shared" ref="K46:K47" si="72">SUM(G46:J46)</f>
        <v>7114</v>
      </c>
      <c r="L46" s="40">
        <v>3723</v>
      </c>
      <c r="M46" s="40">
        <v>2896</v>
      </c>
      <c r="N46" s="40">
        <v>4267</v>
      </c>
      <c r="O46" s="40">
        <v>6068</v>
      </c>
      <c r="P46" s="46">
        <f t="shared" ref="P46:P47" si="73">SUM(L46:O46)</f>
        <v>16954</v>
      </c>
      <c r="Q46" s="40">
        <v>1588</v>
      </c>
      <c r="R46" s="40">
        <v>7455</v>
      </c>
      <c r="S46" s="40">
        <v>5283</v>
      </c>
      <c r="T46" s="40">
        <v>6423</v>
      </c>
      <c r="U46" s="46">
        <f t="shared" ref="U46:U47" si="74">SUM(Q46:T46)</f>
        <v>20749</v>
      </c>
      <c r="V46" s="40">
        <v>6504</v>
      </c>
      <c r="W46" s="40">
        <v>3212</v>
      </c>
      <c r="X46" s="40">
        <v>5257</v>
      </c>
    </row>
    <row r="47" spans="1:24" s="2" customFormat="1" ht="12.75" x14ac:dyDescent="0.2">
      <c r="A47" s="14" t="s">
        <v>92</v>
      </c>
      <c r="B47" s="5">
        <v>-211</v>
      </c>
      <c r="C47" s="5">
        <v>-122</v>
      </c>
      <c r="D47" s="5">
        <v>-99</v>
      </c>
      <c r="E47" s="5">
        <v>-75</v>
      </c>
      <c r="F47" s="25">
        <f t="shared" si="71"/>
        <v>-507</v>
      </c>
      <c r="G47" s="5">
        <v>-19</v>
      </c>
      <c r="H47" s="5">
        <v>-65</v>
      </c>
      <c r="I47" s="5">
        <v>-39</v>
      </c>
      <c r="J47" s="5">
        <v>-164</v>
      </c>
      <c r="K47" s="25">
        <f t="shared" si="72"/>
        <v>-287</v>
      </c>
      <c r="L47" s="5">
        <v>-118</v>
      </c>
      <c r="M47" s="5">
        <v>-76</v>
      </c>
      <c r="N47" s="5">
        <v>-19</v>
      </c>
      <c r="O47" s="5">
        <f>-256+213</f>
        <v>-43</v>
      </c>
      <c r="P47" s="25">
        <f t="shared" si="73"/>
        <v>-256</v>
      </c>
      <c r="Q47" s="5">
        <v>-32</v>
      </c>
      <c r="R47" s="5">
        <v>-28</v>
      </c>
      <c r="S47" s="5">
        <v>-55</v>
      </c>
      <c r="T47" s="5">
        <v>-80</v>
      </c>
      <c r="U47" s="25">
        <f t="shared" si="74"/>
        <v>-195</v>
      </c>
      <c r="V47" s="5">
        <v>-6</v>
      </c>
      <c r="W47" s="5">
        <v>-519</v>
      </c>
      <c r="X47" s="5">
        <v>-8</v>
      </c>
    </row>
    <row r="48" spans="1:24" s="2" customFormat="1" ht="13.5" thickBot="1" x14ac:dyDescent="0.25">
      <c r="A48" s="1" t="s">
        <v>93</v>
      </c>
      <c r="B48" s="12">
        <f t="shared" ref="B48" si="75">SUM(B46:B47)</f>
        <v>2034</v>
      </c>
      <c r="C48" s="12">
        <f t="shared" ref="C48" si="76">SUM(C46:C47)</f>
        <v>3387</v>
      </c>
      <c r="D48" s="12">
        <f t="shared" ref="D48" si="77">SUM(D46:D47)</f>
        <v>1265</v>
      </c>
      <c r="E48" s="12">
        <f>SUM(E46:E47)</f>
        <v>1325</v>
      </c>
      <c r="F48" s="30">
        <f>SUM(F46:F47)</f>
        <v>8011</v>
      </c>
      <c r="G48" s="12">
        <f t="shared" ref="G48" si="78">SUM(G46:G47)</f>
        <v>4790</v>
      </c>
      <c r="H48" s="12">
        <f t="shared" ref="H48" si="79">SUM(H46:H47)</f>
        <v>982</v>
      </c>
      <c r="I48" s="12">
        <f t="shared" ref="I48" si="80">SUM(I46:I47)</f>
        <v>579</v>
      </c>
      <c r="J48" s="12">
        <f t="shared" ref="J48:P48" si="81">SUM(J46:J47)</f>
        <v>476</v>
      </c>
      <c r="K48" s="30">
        <f t="shared" si="81"/>
        <v>6827</v>
      </c>
      <c r="L48" s="12">
        <f t="shared" si="81"/>
        <v>3605</v>
      </c>
      <c r="M48" s="12">
        <f t="shared" si="81"/>
        <v>2820</v>
      </c>
      <c r="N48" s="12">
        <f t="shared" si="81"/>
        <v>4248</v>
      </c>
      <c r="O48" s="12">
        <f t="shared" si="81"/>
        <v>6025</v>
      </c>
      <c r="P48" s="30">
        <f t="shared" si="81"/>
        <v>16698</v>
      </c>
      <c r="Q48" s="12">
        <f t="shared" ref="Q48:R48" si="82">SUM(Q46:Q47)</f>
        <v>1556</v>
      </c>
      <c r="R48" s="12">
        <f t="shared" si="82"/>
        <v>7427</v>
      </c>
      <c r="S48" s="12">
        <f t="shared" ref="S48:U48" si="83">SUM(S46:S47)</f>
        <v>5228</v>
      </c>
      <c r="T48" s="12">
        <f t="shared" si="83"/>
        <v>6343</v>
      </c>
      <c r="U48" s="30">
        <f t="shared" si="83"/>
        <v>20554</v>
      </c>
      <c r="V48" s="12">
        <f t="shared" ref="V48:W48" si="84">SUM(V46:V47)</f>
        <v>6498</v>
      </c>
      <c r="W48" s="12">
        <f t="shared" si="84"/>
        <v>2693</v>
      </c>
      <c r="X48" s="12">
        <f t="shared" ref="X48" si="85">SUM(X46:X47)</f>
        <v>5249</v>
      </c>
    </row>
    <row r="49" spans="1:24" s="2" customFormat="1" ht="13.5" thickTop="1" x14ac:dyDescent="0.2">
      <c r="A49" s="1"/>
      <c r="B49" s="13"/>
      <c r="C49" s="13"/>
      <c r="D49" s="13"/>
      <c r="E49" s="13"/>
      <c r="F49" s="31"/>
      <c r="G49" s="13"/>
      <c r="H49" s="13"/>
      <c r="I49" s="13"/>
      <c r="J49" s="13"/>
      <c r="K49" s="31"/>
      <c r="L49" s="13"/>
      <c r="M49" s="13"/>
      <c r="N49" s="13"/>
      <c r="O49" s="13"/>
      <c r="P49" s="31"/>
      <c r="Q49" s="13"/>
      <c r="R49" s="13"/>
      <c r="S49" s="13"/>
      <c r="T49" s="13"/>
      <c r="U49" s="31"/>
      <c r="V49" s="13"/>
      <c r="W49" s="13"/>
      <c r="X49" s="13"/>
    </row>
    <row r="50" spans="1:24" s="83" customFormat="1" ht="13.5" x14ac:dyDescent="0.2">
      <c r="A50" s="103" t="s">
        <v>149</v>
      </c>
      <c r="F50" s="93"/>
      <c r="K50" s="93"/>
      <c r="P50" s="93"/>
      <c r="U50" s="93"/>
    </row>
  </sheetData>
  <conditionalFormatting sqref="A6:P23 A26:P28 A30:P50">
    <cfRule type="expression" dxfId="30" priority="42" stopIfTrue="1">
      <formula>MOD(ROW(),2)=0</formula>
    </cfRule>
  </conditionalFormatting>
  <conditionalFormatting sqref="Q6:Q23 Q26:Q28 Q30:Q50">
    <cfRule type="expression" dxfId="29" priority="30" stopIfTrue="1">
      <formula>MOD(ROW(),2)=0</formula>
    </cfRule>
  </conditionalFormatting>
  <conditionalFormatting sqref="A24:P24 A25:J25 L25:P25">
    <cfRule type="expression" dxfId="28" priority="29" stopIfTrue="1">
      <formula>MOD(ROW(),2)=0</formula>
    </cfRule>
  </conditionalFormatting>
  <conditionalFormatting sqref="Q24:Q25">
    <cfRule type="expression" dxfId="27" priority="28" stopIfTrue="1">
      <formula>MOD(ROW(),2)=0</formula>
    </cfRule>
  </conditionalFormatting>
  <conditionalFormatting sqref="A29:P29">
    <cfRule type="expression" dxfId="26" priority="27" stopIfTrue="1">
      <formula>MOD(ROW(),2)=0</formula>
    </cfRule>
  </conditionalFormatting>
  <conditionalFormatting sqref="Q29">
    <cfRule type="expression" dxfId="25" priority="26" stopIfTrue="1">
      <formula>MOD(ROW(),2)=0</formula>
    </cfRule>
  </conditionalFormatting>
  <conditionalFormatting sqref="R6:R23 R26:R28 R30:R50">
    <cfRule type="expression" dxfId="24" priority="25" stopIfTrue="1">
      <formula>MOD(ROW(),2)=0</formula>
    </cfRule>
  </conditionalFormatting>
  <conditionalFormatting sqref="R24:R25">
    <cfRule type="expression" dxfId="23" priority="24" stopIfTrue="1">
      <formula>MOD(ROW(),2)=0</formula>
    </cfRule>
  </conditionalFormatting>
  <conditionalFormatting sqref="R29">
    <cfRule type="expression" dxfId="22" priority="23" stopIfTrue="1">
      <formula>MOD(ROW(),2)=0</formula>
    </cfRule>
  </conditionalFormatting>
  <conditionalFormatting sqref="S6:S23 S26:S28 S30:S50 T10:U10">
    <cfRule type="expression" dxfId="21" priority="22" stopIfTrue="1">
      <formula>MOD(ROW(),2)=0</formula>
    </cfRule>
  </conditionalFormatting>
  <conditionalFormatting sqref="S24:S25">
    <cfRule type="expression" dxfId="20" priority="21" stopIfTrue="1">
      <formula>MOD(ROW(),2)=0</formula>
    </cfRule>
  </conditionalFormatting>
  <conditionalFormatting sqref="S29">
    <cfRule type="expression" dxfId="19" priority="20" stopIfTrue="1">
      <formula>MOD(ROW(),2)=0</formula>
    </cfRule>
  </conditionalFormatting>
  <conditionalFormatting sqref="T6:T9 T26:T28 T30:T50 T11:T23">
    <cfRule type="expression" dxfId="18" priority="19" stopIfTrue="1">
      <formula>MOD(ROW(),2)=0</formula>
    </cfRule>
  </conditionalFormatting>
  <conditionalFormatting sqref="T24:T25">
    <cfRule type="expression" dxfId="17" priority="18" stopIfTrue="1">
      <formula>MOD(ROW(),2)=0</formula>
    </cfRule>
  </conditionalFormatting>
  <conditionalFormatting sqref="T29">
    <cfRule type="expression" dxfId="16" priority="17" stopIfTrue="1">
      <formula>MOD(ROW(),2)=0</formula>
    </cfRule>
  </conditionalFormatting>
  <conditionalFormatting sqref="U6:U9 U26:U28 U30:U50 U11:U23">
    <cfRule type="expression" dxfId="15" priority="16" stopIfTrue="1">
      <formula>MOD(ROW(),2)=0</formula>
    </cfRule>
  </conditionalFormatting>
  <conditionalFormatting sqref="U24:U25">
    <cfRule type="expression" dxfId="14" priority="15" stopIfTrue="1">
      <formula>MOD(ROW(),2)=0</formula>
    </cfRule>
  </conditionalFormatting>
  <conditionalFormatting sqref="U29">
    <cfRule type="expression" dxfId="13" priority="14" stopIfTrue="1">
      <formula>MOD(ROW(),2)=0</formula>
    </cfRule>
  </conditionalFormatting>
  <conditionalFormatting sqref="V10">
    <cfRule type="expression" dxfId="12" priority="13" stopIfTrue="1">
      <formula>MOD(ROW(),2)=0</formula>
    </cfRule>
  </conditionalFormatting>
  <conditionalFormatting sqref="V6:V9 V26:V28 V30:V50 V11:V23">
    <cfRule type="expression" dxfId="11" priority="12" stopIfTrue="1">
      <formula>MOD(ROW(),2)=0</formula>
    </cfRule>
  </conditionalFormatting>
  <conditionalFormatting sqref="V24:V25">
    <cfRule type="expression" dxfId="10" priority="11" stopIfTrue="1">
      <formula>MOD(ROW(),2)=0</formula>
    </cfRule>
  </conditionalFormatting>
  <conditionalFormatting sqref="V29">
    <cfRule type="expression" dxfId="9" priority="10" stopIfTrue="1">
      <formula>MOD(ROW(),2)=0</formula>
    </cfRule>
  </conditionalFormatting>
  <conditionalFormatting sqref="K25">
    <cfRule type="expression" dxfId="8" priority="9" stopIfTrue="1">
      <formula>MOD(ROW(),2)=0</formula>
    </cfRule>
  </conditionalFormatting>
  <conditionalFormatting sqref="W10">
    <cfRule type="expression" dxfId="7" priority="8" stopIfTrue="1">
      <formula>MOD(ROW(),2)=0</formula>
    </cfRule>
  </conditionalFormatting>
  <conditionalFormatting sqref="W6:W9 W26:W28 W30:W50 W11:W23">
    <cfRule type="expression" dxfId="6" priority="7" stopIfTrue="1">
      <formula>MOD(ROW(),2)=0</formula>
    </cfRule>
  </conditionalFormatting>
  <conditionalFormatting sqref="W24:W25">
    <cfRule type="expression" dxfId="5" priority="6" stopIfTrue="1">
      <formula>MOD(ROW(),2)=0</formula>
    </cfRule>
  </conditionalFormatting>
  <conditionalFormatting sqref="W29">
    <cfRule type="expression" dxfId="4" priority="5" stopIfTrue="1">
      <formula>MOD(ROW(),2)=0</formula>
    </cfRule>
  </conditionalFormatting>
  <conditionalFormatting sqref="X10">
    <cfRule type="expression" dxfId="3" priority="4" stopIfTrue="1">
      <formula>MOD(ROW(),2)=0</formula>
    </cfRule>
  </conditionalFormatting>
  <conditionalFormatting sqref="X6:X9 X26:X28 X30:X50 X11:X23">
    <cfRule type="expression" dxfId="2" priority="3" stopIfTrue="1">
      <formula>MOD(ROW(),2)=0</formula>
    </cfRule>
  </conditionalFormatting>
  <conditionalFormatting sqref="X24:X25">
    <cfRule type="expression" dxfId="1" priority="2" stopIfTrue="1">
      <formula>MOD(ROW(),2)=0</formula>
    </cfRule>
  </conditionalFormatting>
  <conditionalFormatting sqref="X29">
    <cfRule type="expression" dxfId="0" priority="1" stopIfTrue="1">
      <formula>MOD(ROW(),2)=0</formula>
    </cfRule>
  </conditionalFormatting>
  <pageMargins left="0.7" right="0.7" top="0.75" bottom="0.75" header="0.3" footer="0.3"/>
  <pageSetup paperSize="3" scale="71" orientation="landscape" horizontalDpi="1200" r:id="rId1"/>
  <ignoredErrors>
    <ignoredError sqref="F30:F48 K30:K48 P30:P48 P10:P23 K10:K23 F10:F23 P26:P28 K26:K28 F26:F28 U10 U20 U4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Cover</vt:lpstr>
      <vt:lpstr>Income Statements</vt:lpstr>
      <vt:lpstr>Balance Sheets</vt:lpstr>
      <vt:lpstr>Cash Flows</vt:lpstr>
      <vt:lpstr>Segments</vt:lpstr>
      <vt:lpstr>'Balance Sheets'!Print_Area</vt:lpstr>
      <vt:lpstr>'Cash Flows'!Print_Area</vt:lpstr>
      <vt:lpstr>Cover!Print_Area</vt:lpstr>
      <vt:lpstr>'Income Statements'!Print_Area</vt:lpstr>
      <vt:lpstr>Segments!Print_Area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Jensen</dc:creator>
  <cp:lastModifiedBy>Danielle Jackson</cp:lastModifiedBy>
  <cp:lastPrinted>2019-07-24T22:27:54Z</cp:lastPrinted>
  <dcterms:created xsi:type="dcterms:W3CDTF">2018-12-18T22:22:31Z</dcterms:created>
  <dcterms:modified xsi:type="dcterms:W3CDTF">2020-11-02T16:03:26Z</dcterms:modified>
</cp:coreProperties>
</file>