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J:\2022\10-K\Exportable Financial Statements\"/>
    </mc:Choice>
  </mc:AlternateContent>
  <xr:revisionPtr revIDLastSave="0" documentId="13_ncr:1_{561DA9A0-E20A-4382-AC69-4CA5B35F8501}" xr6:coauthVersionLast="47" xr6:coauthVersionMax="47" xr10:uidLastSave="{00000000-0000-0000-0000-000000000000}"/>
  <bookViews>
    <workbookView xWindow="28680" yWindow="-120" windowWidth="29040" windowHeight="15840" activeTab="1" xr2:uid="{9E3E0547-23A9-48A2-A5C1-E7447EEC93A2}"/>
  </bookViews>
  <sheets>
    <sheet name="Cover" sheetId="5" r:id="rId1"/>
    <sheet name="Income Statements" sheetId="1" r:id="rId2"/>
    <sheet name="Balance Sheets" sheetId="2" r:id="rId3"/>
    <sheet name="Cash Flows" sheetId="3" r:id="rId4"/>
    <sheet name="Segments" sheetId="4" r:id="rId5"/>
  </sheets>
  <definedNames>
    <definedName name="_xlnm.Print_Area" localSheetId="2">'Balance Sheets'!$A$1:$AC$43</definedName>
    <definedName name="_xlnm.Print_Area" localSheetId="3">'Cash Flows'!$A$1:$AJ$70</definedName>
    <definedName name="_xlnm.Print_Area" localSheetId="0">Cover!$B$2:$N$29</definedName>
    <definedName name="_xlnm.Print_Area" localSheetId="1">'Income Statements'!$A$1:$AJ$99</definedName>
    <definedName name="_xlnm.Print_Area" localSheetId="4">Segments!$A$1:$AJ$53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71" i="1" l="1"/>
  <c r="AH73" i="1"/>
  <c r="AI35" i="3" l="1"/>
  <c r="AI20" i="3"/>
  <c r="AI19" i="3"/>
  <c r="AI13" i="3"/>
  <c r="AJ24" i="1" l="1"/>
  <c r="AJ53" i="1"/>
  <c r="AJ55" i="1"/>
  <c r="AA34" i="3"/>
  <c r="AB34" i="3" s="1"/>
  <c r="AC34" i="3" s="1"/>
  <c r="AD34" i="3" s="1"/>
  <c r="AE34" i="3" s="1"/>
  <c r="AJ46" i="4"/>
  <c r="AJ44" i="4"/>
  <c r="AJ78" i="1" l="1"/>
  <c r="AH31" i="1"/>
  <c r="AH30" i="1"/>
  <c r="AI31" i="1"/>
  <c r="AI30" i="1"/>
  <c r="AE32" i="1"/>
  <c r="AE71" i="1" l="1"/>
  <c r="AJ32" i="1"/>
  <c r="AJ87" i="1"/>
  <c r="AJ11" i="4"/>
  <c r="AI69" i="1"/>
  <c r="AI51" i="4" l="1"/>
  <c r="AJ45" i="1"/>
  <c r="AI44" i="1"/>
  <c r="AI43" i="1"/>
  <c r="AJ57" i="1"/>
  <c r="AI58" i="1"/>
  <c r="AI57" i="1"/>
  <c r="AH57" i="1"/>
  <c r="AI55" i="1"/>
  <c r="AI53" i="1"/>
  <c r="AI48" i="1"/>
  <c r="AI49" i="1"/>
  <c r="AI52" i="1"/>
  <c r="AI47" i="1"/>
  <c r="AI45" i="1"/>
  <c r="AH45" i="1"/>
  <c r="AH42" i="1"/>
  <c r="AI42" i="1"/>
  <c r="AI41" i="1"/>
  <c r="AI40" i="1"/>
  <c r="AI60" i="1"/>
  <c r="AI73" i="1" s="1"/>
  <c r="AI75" i="1"/>
  <c r="AJ22" i="4"/>
  <c r="AI44" i="4"/>
  <c r="AI46" i="4" s="1"/>
  <c r="AJ36" i="4"/>
  <c r="AJ24" i="4"/>
  <c r="AI20" i="4"/>
  <c r="AI37" i="4" s="1"/>
  <c r="AI10" i="4"/>
  <c r="AI12" i="4" s="1"/>
  <c r="AJ65" i="3"/>
  <c r="AE65" i="3"/>
  <c r="AI67" i="3"/>
  <c r="AI66" i="3"/>
  <c r="AI65" i="3"/>
  <c r="AE50" i="3"/>
  <c r="AH64" i="3"/>
  <c r="AJ59" i="3"/>
  <c r="AI47" i="3"/>
  <c r="AI44" i="3"/>
  <c r="AJ44" i="3" s="1"/>
  <c r="AI40" i="3"/>
  <c r="AI48" i="3" s="1"/>
  <c r="AI39" i="3"/>
  <c r="AJ34" i="3"/>
  <c r="AI29" i="3"/>
  <c r="AI28" i="3"/>
  <c r="AI27" i="3"/>
  <c r="AJ23" i="3"/>
  <c r="AI22" i="3"/>
  <c r="AI21" i="3"/>
  <c r="AJ21" i="3" s="1"/>
  <c r="AE20" i="3"/>
  <c r="AI16" i="3"/>
  <c r="AI14" i="3"/>
  <c r="AI10" i="3"/>
  <c r="AJ10" i="3" s="1"/>
  <c r="AI9" i="3"/>
  <c r="AJ9" i="3" s="1"/>
  <c r="AI7" i="3"/>
  <c r="AC13" i="2"/>
  <c r="AI27" i="1"/>
  <c r="AI26" i="1"/>
  <c r="AI25" i="1"/>
  <c r="AI23" i="1"/>
  <c r="AI20" i="1"/>
  <c r="AI19" i="1"/>
  <c r="AI18" i="1"/>
  <c r="AJ11" i="1"/>
  <c r="AI11" i="1"/>
  <c r="AI10" i="1"/>
  <c r="AI9" i="1"/>
  <c r="AI7" i="1"/>
  <c r="AC20" i="2"/>
  <c r="AC29" i="2"/>
  <c r="AC34" i="2" s="1"/>
  <c r="AC41" i="2"/>
  <c r="AH49" i="3"/>
  <c r="AI61" i="3"/>
  <c r="AJ88" i="1"/>
  <c r="AJ86" i="1"/>
  <c r="AJ85" i="1"/>
  <c r="AJ84" i="1"/>
  <c r="AJ83" i="1"/>
  <c r="AJ81" i="1"/>
  <c r="AJ80" i="1"/>
  <c r="AJ79" i="1"/>
  <c r="AJ77" i="1"/>
  <c r="AJ72" i="1"/>
  <c r="AJ70" i="1"/>
  <c r="AJ69" i="1"/>
  <c r="AJ68" i="1"/>
  <c r="AJ67" i="1"/>
  <c r="AJ66" i="1"/>
  <c r="AJ82" i="1" s="1"/>
  <c r="AJ65" i="1"/>
  <c r="AJ64" i="1"/>
  <c r="AJ63" i="1"/>
  <c r="AJ62" i="1"/>
  <c r="AJ61" i="1"/>
  <c r="AJ76" i="1" s="1"/>
  <c r="AJ56" i="1"/>
  <c r="AJ54" i="1"/>
  <c r="AJ52" i="1"/>
  <c r="AJ51" i="1"/>
  <c r="AJ50" i="1"/>
  <c r="AJ48" i="1"/>
  <c r="AJ46" i="1"/>
  <c r="AJ44" i="1"/>
  <c r="AJ43" i="1"/>
  <c r="AJ26" i="1"/>
  <c r="AJ42" i="1" s="1"/>
  <c r="AJ23" i="1"/>
  <c r="AJ49" i="1" s="1"/>
  <c r="AJ22" i="1"/>
  <c r="AJ21" i="1"/>
  <c r="AJ20" i="1"/>
  <c r="AJ41" i="1" s="1"/>
  <c r="AJ17" i="1"/>
  <c r="AJ47" i="1" s="1"/>
  <c r="AJ16" i="1"/>
  <c r="AJ15" i="1"/>
  <c r="AJ14" i="1"/>
  <c r="AJ13" i="1"/>
  <c r="AJ12" i="1"/>
  <c r="AJ10" i="1"/>
  <c r="AJ9" i="1"/>
  <c r="AJ60" i="3"/>
  <c r="AJ61" i="3" s="1"/>
  <c r="AJ47" i="3"/>
  <c r="AJ46" i="3"/>
  <c r="AJ45" i="3"/>
  <c r="AJ43" i="3"/>
  <c r="AJ42" i="3"/>
  <c r="AJ41" i="3"/>
  <c r="AJ40" i="3"/>
  <c r="AJ39" i="3"/>
  <c r="AJ35" i="3"/>
  <c r="AJ33" i="3"/>
  <c r="AJ32" i="3"/>
  <c r="AJ31" i="3"/>
  <c r="AJ30" i="3"/>
  <c r="AJ29" i="3"/>
  <c r="AJ67" i="3" s="1"/>
  <c r="AJ28" i="3"/>
  <c r="AJ66" i="3" s="1"/>
  <c r="AJ22" i="3"/>
  <c r="AJ20" i="3"/>
  <c r="AJ19" i="3"/>
  <c r="AJ18" i="3"/>
  <c r="AJ17" i="3"/>
  <c r="AJ16" i="3"/>
  <c r="AJ15" i="3"/>
  <c r="AJ14" i="3"/>
  <c r="AJ13" i="3"/>
  <c r="AJ12" i="3"/>
  <c r="AJ11" i="3"/>
  <c r="AJ7" i="4"/>
  <c r="AJ50" i="4"/>
  <c r="AJ45" i="4"/>
  <c r="AJ43" i="4"/>
  <c r="AJ42" i="4"/>
  <c r="AJ41" i="4"/>
  <c r="AJ40" i="4"/>
  <c r="AJ35" i="4"/>
  <c r="AJ34" i="4"/>
  <c r="AJ33" i="4"/>
  <c r="AJ32" i="4"/>
  <c r="AJ31" i="4"/>
  <c r="AJ30" i="4"/>
  <c r="AJ29" i="4"/>
  <c r="AJ28" i="4"/>
  <c r="AJ27" i="4"/>
  <c r="AJ26" i="4"/>
  <c r="AJ25" i="4"/>
  <c r="AJ21" i="4"/>
  <c r="AJ23" i="4"/>
  <c r="AJ19" i="4"/>
  <c r="AJ18" i="4"/>
  <c r="AJ17" i="4"/>
  <c r="AJ16" i="4"/>
  <c r="AJ15" i="4"/>
  <c r="AJ9" i="4"/>
  <c r="AJ8" i="4"/>
  <c r="AJ10" i="4" s="1"/>
  <c r="AJ12" i="4" s="1"/>
  <c r="AH48" i="3"/>
  <c r="AH36" i="3"/>
  <c r="AH24" i="3"/>
  <c r="AH10" i="4"/>
  <c r="AH12" i="4" s="1"/>
  <c r="AH20" i="4"/>
  <c r="AH37" i="4" s="1"/>
  <c r="AH44" i="4"/>
  <c r="AH46" i="4" s="1"/>
  <c r="AJ37" i="4" l="1"/>
  <c r="AI89" i="1"/>
  <c r="AJ49" i="4"/>
  <c r="AJ51" i="4" s="1"/>
  <c r="AJ20" i="4"/>
  <c r="AJ48" i="3"/>
  <c r="AJ27" i="3"/>
  <c r="AI36" i="3"/>
  <c r="AI24" i="3"/>
  <c r="AI64" i="3" s="1"/>
  <c r="AI68" i="3" s="1"/>
  <c r="AC42" i="2"/>
  <c r="AJ18" i="1"/>
  <c r="AH51" i="4"/>
  <c r="AI49" i="3" l="1"/>
  <c r="AJ36" i="3"/>
  <c r="AH67" i="3"/>
  <c r="AH66" i="3"/>
  <c r="AH65" i="3"/>
  <c r="AH61" i="3"/>
  <c r="AB41" i="2"/>
  <c r="AB29" i="2"/>
  <c r="AB34" i="2" s="1"/>
  <c r="AB13" i="2"/>
  <c r="AB20" i="2" s="1"/>
  <c r="AH75" i="1"/>
  <c r="AH55" i="1"/>
  <c r="AH53" i="1"/>
  <c r="AH69" i="1" s="1"/>
  <c r="AH49" i="1"/>
  <c r="AH48" i="1"/>
  <c r="AH47" i="1"/>
  <c r="AH41" i="1"/>
  <c r="AH18" i="1"/>
  <c r="AH19" i="1" s="1"/>
  <c r="AH25" i="1" s="1"/>
  <c r="AH89" i="1" l="1"/>
  <c r="AH68" i="3"/>
  <c r="AB42" i="2"/>
  <c r="AH27" i="1"/>
  <c r="AH60" i="1" s="1"/>
  <c r="AG51" i="4"/>
  <c r="AG44" i="4"/>
  <c r="AG46" i="4" s="1"/>
  <c r="AG20" i="4"/>
  <c r="AG37" i="4" s="1"/>
  <c r="AG10" i="4"/>
  <c r="AG12" i="4" s="1"/>
  <c r="AG24" i="3"/>
  <c r="AG64" i="3" s="1"/>
  <c r="AG67" i="3"/>
  <c r="AG66" i="3"/>
  <c r="AG65" i="3"/>
  <c r="AG61" i="3"/>
  <c r="AG48" i="3"/>
  <c r="AG49" i="3" s="1"/>
  <c r="AG36" i="3"/>
  <c r="AA13" i="2"/>
  <c r="AA20" i="2" s="1"/>
  <c r="AA29" i="2"/>
  <c r="AA34" i="2" s="1"/>
  <c r="AA41" i="2"/>
  <c r="AH40" i="1" l="1"/>
  <c r="AH58" i="1" s="1"/>
  <c r="AG68" i="3"/>
  <c r="AA42" i="2"/>
  <c r="AG55" i="1" l="1"/>
  <c r="AG53" i="1"/>
  <c r="AG69" i="1" s="1"/>
  <c r="AG49" i="1"/>
  <c r="AG48" i="1"/>
  <c r="AG47" i="1"/>
  <c r="AG42" i="1"/>
  <c r="AG41" i="1"/>
  <c r="AG18" i="1"/>
  <c r="AG19" i="1" s="1"/>
  <c r="AG25" i="1" s="1"/>
  <c r="AG27" i="1" s="1"/>
  <c r="AF65" i="3"/>
  <c r="AF51" i="4"/>
  <c r="AF44" i="4"/>
  <c r="AF46" i="4" s="1"/>
  <c r="AF20" i="4"/>
  <c r="AF37" i="4" s="1"/>
  <c r="AF10" i="4"/>
  <c r="AF12" i="4" s="1"/>
  <c r="AF67" i="3"/>
  <c r="AF66" i="3"/>
  <c r="AF61" i="3"/>
  <c r="AF48" i="3"/>
  <c r="AF36" i="3"/>
  <c r="Z41" i="2"/>
  <c r="Z29" i="2"/>
  <c r="Z34" i="2" s="1"/>
  <c r="Z13" i="2"/>
  <c r="Z20" i="2" s="1"/>
  <c r="AF55" i="1"/>
  <c r="AF53" i="1"/>
  <c r="AF69" i="1" s="1"/>
  <c r="AF49" i="1"/>
  <c r="AF48" i="1"/>
  <c r="AF47" i="1"/>
  <c r="AF42" i="1"/>
  <c r="AF41" i="1"/>
  <c r="AF18" i="1"/>
  <c r="AF19" i="1" s="1"/>
  <c r="AF25" i="1" s="1"/>
  <c r="AF27" i="1" s="1"/>
  <c r="AF7" i="3" l="1"/>
  <c r="AJ7" i="3" s="1"/>
  <c r="AJ24" i="3" s="1"/>
  <c r="AF30" i="1"/>
  <c r="AF31" i="1"/>
  <c r="AF75" i="1" s="1"/>
  <c r="AF89" i="1" s="1"/>
  <c r="AG30" i="1"/>
  <c r="AG31" i="1"/>
  <c r="AG75" i="1" s="1"/>
  <c r="AG89" i="1"/>
  <c r="AF24" i="3"/>
  <c r="AF64" i="3" s="1"/>
  <c r="AF68" i="3" s="1"/>
  <c r="AG60" i="1"/>
  <c r="AG73" i="1" s="1"/>
  <c r="AG40" i="1"/>
  <c r="AG58" i="1" s="1"/>
  <c r="Z42" i="2"/>
  <c r="AF60" i="1"/>
  <c r="AF73" i="1" s="1"/>
  <c r="AF40" i="1"/>
  <c r="AF58" i="1" s="1"/>
  <c r="AD65" i="3"/>
  <c r="AE11" i="4"/>
  <c r="AE8" i="4"/>
  <c r="AJ64" i="3" l="1"/>
  <c r="AJ68" i="3" s="1"/>
  <c r="AJ49" i="3"/>
  <c r="AF49" i="3"/>
  <c r="AE72" i="1"/>
  <c r="AE70" i="1"/>
  <c r="AE68" i="1"/>
  <c r="AE67" i="1"/>
  <c r="AE66" i="1"/>
  <c r="AE65" i="1"/>
  <c r="AE64" i="1"/>
  <c r="AE63" i="1"/>
  <c r="AE62" i="1"/>
  <c r="AE61" i="1"/>
  <c r="AE35" i="3"/>
  <c r="AE47" i="3"/>
  <c r="AE50" i="4" l="1"/>
  <c r="AE49" i="4"/>
  <c r="AE45" i="4"/>
  <c r="AE43" i="4"/>
  <c r="AE42" i="4"/>
  <c r="AE41" i="4"/>
  <c r="AE40" i="4"/>
  <c r="AE35" i="4"/>
  <c r="AE34" i="4"/>
  <c r="AE33" i="4"/>
  <c r="AE32" i="4"/>
  <c r="AE31" i="4"/>
  <c r="AE30" i="4"/>
  <c r="AE29" i="4"/>
  <c r="AE28" i="4"/>
  <c r="AE27" i="4"/>
  <c r="AE26" i="4"/>
  <c r="AE25" i="4"/>
  <c r="AE21" i="4"/>
  <c r="AE22" i="4"/>
  <c r="AE23" i="4"/>
  <c r="AE19" i="4"/>
  <c r="AE18" i="4"/>
  <c r="AE17" i="4"/>
  <c r="AE16" i="4"/>
  <c r="AE15" i="4"/>
  <c r="AE9" i="4"/>
  <c r="AE7" i="4"/>
  <c r="AD51" i="4"/>
  <c r="AD44" i="4"/>
  <c r="AD46" i="4" s="1"/>
  <c r="AD20" i="4"/>
  <c r="AD37" i="4" s="1"/>
  <c r="AD10" i="4"/>
  <c r="AD12" i="4" s="1"/>
  <c r="AE60" i="3"/>
  <c r="AE59" i="3"/>
  <c r="AE46" i="3"/>
  <c r="AE45" i="3"/>
  <c r="AE44" i="3"/>
  <c r="AE43" i="3"/>
  <c r="AE42" i="3"/>
  <c r="AE41" i="3"/>
  <c r="AE40" i="3"/>
  <c r="AE39" i="3"/>
  <c r="AE33" i="3"/>
  <c r="AE32" i="3"/>
  <c r="AE31" i="3"/>
  <c r="AE30" i="3"/>
  <c r="AE29" i="3"/>
  <c r="AE67" i="3" s="1"/>
  <c r="AE28" i="3"/>
  <c r="AE66" i="3" s="1"/>
  <c r="AE27" i="3"/>
  <c r="AE22" i="3"/>
  <c r="AE21" i="3"/>
  <c r="AE19" i="3"/>
  <c r="AE18" i="3"/>
  <c r="AE17" i="3"/>
  <c r="AE16" i="3"/>
  <c r="AE15" i="3"/>
  <c r="AE14" i="3"/>
  <c r="AE13" i="3"/>
  <c r="AE12" i="3"/>
  <c r="AE11" i="3"/>
  <c r="AE10" i="3"/>
  <c r="AE9" i="3"/>
  <c r="AD67" i="3"/>
  <c r="AD66" i="3"/>
  <c r="AD61" i="3"/>
  <c r="AD48" i="3"/>
  <c r="AD36" i="3"/>
  <c r="Y41" i="2"/>
  <c r="Y29" i="2"/>
  <c r="Y34" i="2" s="1"/>
  <c r="Y13" i="2"/>
  <c r="Y20" i="2" s="1"/>
  <c r="AE54" i="1"/>
  <c r="AE52" i="1"/>
  <c r="AE51" i="1"/>
  <c r="AE50" i="1"/>
  <c r="AE46" i="1"/>
  <c r="AE44" i="1"/>
  <c r="AE61" i="3" l="1"/>
  <c r="AE51" i="4"/>
  <c r="AE44" i="4"/>
  <c r="AE46" i="4" s="1"/>
  <c r="AE20" i="4"/>
  <c r="AE37" i="4" s="1"/>
  <c r="AE10" i="4"/>
  <c r="AE12" i="4" s="1"/>
  <c r="AE48" i="3"/>
  <c r="AE36" i="3"/>
  <c r="Y42" i="2"/>
  <c r="AE88" i="1" l="1"/>
  <c r="AE86" i="1"/>
  <c r="AE85" i="1"/>
  <c r="AE84" i="1"/>
  <c r="AE83" i="1"/>
  <c r="AE82" i="1"/>
  <c r="AE81" i="1"/>
  <c r="AE80" i="1"/>
  <c r="AE79" i="1"/>
  <c r="AE78" i="1"/>
  <c r="AE77" i="1"/>
  <c r="AE76" i="1"/>
  <c r="AE56" i="1"/>
  <c r="AE43" i="1"/>
  <c r="AE26" i="1"/>
  <c r="AE42" i="1" s="1"/>
  <c r="AE23" i="1"/>
  <c r="AE49" i="1" s="1"/>
  <c r="AE22" i="1"/>
  <c r="AE21" i="1"/>
  <c r="AE20" i="1"/>
  <c r="AE41" i="1" s="1"/>
  <c r="AE17" i="1"/>
  <c r="AE47" i="1" s="1"/>
  <c r="AE16" i="1"/>
  <c r="AE55" i="1" s="1"/>
  <c r="AE15" i="1"/>
  <c r="AE14" i="1"/>
  <c r="AE13" i="1"/>
  <c r="AE53" i="1" s="1"/>
  <c r="AE12" i="1"/>
  <c r="AE10" i="1"/>
  <c r="AE9" i="1"/>
  <c r="AE7" i="1"/>
  <c r="AE48" i="1"/>
  <c r="AD75" i="1"/>
  <c r="AD89" i="1" s="1"/>
  <c r="AD55" i="1"/>
  <c r="AD53" i="1"/>
  <c r="AD69" i="1" s="1"/>
  <c r="AD49" i="1"/>
  <c r="AD48" i="1"/>
  <c r="AD47" i="1"/>
  <c r="AD42" i="1"/>
  <c r="AD41" i="1"/>
  <c r="AD18" i="1"/>
  <c r="AD19" i="1" s="1"/>
  <c r="AD25" i="1" s="1"/>
  <c r="AD27" i="1" s="1"/>
  <c r="AD7" i="3" s="1"/>
  <c r="AD24" i="3" s="1"/>
  <c r="Z30" i="4"/>
  <c r="U30" i="4"/>
  <c r="P30" i="4"/>
  <c r="K30" i="4"/>
  <c r="F30" i="4"/>
  <c r="AC51" i="4"/>
  <c r="AC44" i="4"/>
  <c r="AC46" i="4" s="1"/>
  <c r="AC20" i="4"/>
  <c r="AC37" i="4" s="1"/>
  <c r="AC10" i="4"/>
  <c r="AC12" i="4" s="1"/>
  <c r="Z33" i="3"/>
  <c r="U33" i="3"/>
  <c r="P33" i="3"/>
  <c r="K33" i="3"/>
  <c r="F33" i="3"/>
  <c r="Z17" i="3"/>
  <c r="U17" i="3"/>
  <c r="P17" i="3"/>
  <c r="K17" i="3"/>
  <c r="F17" i="3"/>
  <c r="AC67" i="3"/>
  <c r="AC66" i="3"/>
  <c r="AC65" i="3"/>
  <c r="AC61" i="3"/>
  <c r="AC48" i="3"/>
  <c r="AC36" i="3"/>
  <c r="X41" i="2"/>
  <c r="X29" i="2"/>
  <c r="X34" i="2" s="1"/>
  <c r="X13" i="2"/>
  <c r="X20" i="2" s="1"/>
  <c r="Z76" i="1"/>
  <c r="U76" i="1"/>
  <c r="P76" i="1"/>
  <c r="K76" i="1"/>
  <c r="F76" i="1"/>
  <c r="Z61" i="1"/>
  <c r="U61" i="1"/>
  <c r="P61" i="1"/>
  <c r="K61" i="1"/>
  <c r="F61" i="1"/>
  <c r="AC47" i="1"/>
  <c r="AC48" i="1"/>
  <c r="Z47" i="1"/>
  <c r="U47" i="1"/>
  <c r="P47" i="1"/>
  <c r="K47" i="1"/>
  <c r="F47" i="1"/>
  <c r="AC49" i="1"/>
  <c r="AB18" i="1"/>
  <c r="AA18" i="1"/>
  <c r="Y18" i="1"/>
  <c r="X18" i="1"/>
  <c r="W18" i="1"/>
  <c r="V18" i="1"/>
  <c r="T18" i="1"/>
  <c r="S18" i="1"/>
  <c r="R18" i="1"/>
  <c r="Q18" i="1"/>
  <c r="O18" i="1"/>
  <c r="N18" i="1"/>
  <c r="M18" i="1"/>
  <c r="L18" i="1"/>
  <c r="J18" i="1"/>
  <c r="I18" i="1"/>
  <c r="H18" i="1"/>
  <c r="G18" i="1"/>
  <c r="AC18" i="1"/>
  <c r="AC19" i="1" s="1"/>
  <c r="AC25" i="1" s="1"/>
  <c r="AC27" i="1" s="1"/>
  <c r="AC7" i="3" s="1"/>
  <c r="AC24" i="3" s="1"/>
  <c r="AC64" i="3" s="1"/>
  <c r="Z17" i="1"/>
  <c r="U17" i="1"/>
  <c r="P17" i="1"/>
  <c r="K17" i="1"/>
  <c r="F17" i="1"/>
  <c r="AC75" i="1"/>
  <c r="AC89" i="1" s="1"/>
  <c r="AC55" i="1"/>
  <c r="AC53" i="1"/>
  <c r="AC69" i="1" s="1"/>
  <c r="AC42" i="1"/>
  <c r="AC41" i="1"/>
  <c r="AB65" i="3"/>
  <c r="AD64" i="3" l="1"/>
  <c r="AD68" i="3" s="1"/>
  <c r="AD49" i="3"/>
  <c r="AE18" i="1"/>
  <c r="AE19" i="1" s="1"/>
  <c r="AE25" i="1" s="1"/>
  <c r="AE27" i="1" s="1"/>
  <c r="AD40" i="1"/>
  <c r="AD58" i="1" s="1"/>
  <c r="AD60" i="1"/>
  <c r="AD73" i="1" s="1"/>
  <c r="AC68" i="3"/>
  <c r="AC49" i="3"/>
  <c r="X42" i="2"/>
  <c r="AC60" i="1"/>
  <c r="AC73" i="1" s="1"/>
  <c r="AC40" i="1"/>
  <c r="AC58" i="1" s="1"/>
  <c r="AB51" i="4"/>
  <c r="AB44" i="4"/>
  <c r="AB46" i="4" s="1"/>
  <c r="AB20" i="4"/>
  <c r="AB37" i="4" s="1"/>
  <c r="AB10" i="4"/>
  <c r="AB12" i="4" s="1"/>
  <c r="AB67" i="3"/>
  <c r="AB66" i="3"/>
  <c r="AB61" i="3"/>
  <c r="AB48" i="3"/>
  <c r="AB36" i="3"/>
  <c r="W41" i="2"/>
  <c r="W29" i="2"/>
  <c r="W34" i="2" s="1"/>
  <c r="W13" i="2"/>
  <c r="W20" i="2" s="1"/>
  <c r="AB75" i="1"/>
  <c r="AB89" i="1" s="1"/>
  <c r="AB55" i="1"/>
  <c r="AB53" i="1"/>
  <c r="AB69" i="1" s="1"/>
  <c r="AB48" i="1"/>
  <c r="AB42" i="1"/>
  <c r="AB41" i="1"/>
  <c r="AB19" i="1"/>
  <c r="AB25" i="1" s="1"/>
  <c r="AB27" i="1" s="1"/>
  <c r="AB7" i="3" s="1"/>
  <c r="AB24" i="3" s="1"/>
  <c r="AB64" i="3" s="1"/>
  <c r="B29" i="2"/>
  <c r="C29" i="2"/>
  <c r="D29" i="2"/>
  <c r="E29" i="2"/>
  <c r="F29" i="2"/>
  <c r="G29" i="2"/>
  <c r="H29" i="2"/>
  <c r="I29" i="2"/>
  <c r="J29" i="2"/>
  <c r="K29" i="2"/>
  <c r="L29" i="2"/>
  <c r="M29" i="2"/>
  <c r="N29" i="2"/>
  <c r="O29" i="2"/>
  <c r="P29" i="2"/>
  <c r="Q29" i="2"/>
  <c r="R29" i="2"/>
  <c r="T29" i="2"/>
  <c r="U29" i="2"/>
  <c r="V29" i="2"/>
  <c r="S29" i="2"/>
  <c r="AA75" i="1"/>
  <c r="AA42" i="1"/>
  <c r="AE40" i="1" l="1"/>
  <c r="AE58" i="1" s="1"/>
  <c r="AE31" i="1"/>
  <c r="AE75" i="1" s="1"/>
  <c r="AE30" i="1"/>
  <c r="AE60" i="1"/>
  <c r="AB68" i="3"/>
  <c r="AB49" i="3"/>
  <c r="W42" i="2"/>
  <c r="AB40" i="1"/>
  <c r="AB58" i="1" s="1"/>
  <c r="AB60" i="1"/>
  <c r="AB73" i="1" s="1"/>
  <c r="AA51" i="4"/>
  <c r="AA44" i="4"/>
  <c r="AA46" i="4" s="1"/>
  <c r="AA20" i="4"/>
  <c r="AA37" i="4" s="1"/>
  <c r="AA10" i="4"/>
  <c r="AA12" i="4" s="1"/>
  <c r="AA67" i="3"/>
  <c r="AA66" i="3"/>
  <c r="AA65" i="3"/>
  <c r="AA61" i="3"/>
  <c r="AA48" i="3"/>
  <c r="AA36" i="3"/>
  <c r="V41" i="2"/>
  <c r="V34" i="2"/>
  <c r="V13" i="2"/>
  <c r="V20" i="2" s="1"/>
  <c r="AA89" i="1"/>
  <c r="AA55" i="1"/>
  <c r="AA53" i="1"/>
  <c r="AA69" i="1" s="1"/>
  <c r="AE69" i="1" s="1"/>
  <c r="AA48" i="1"/>
  <c r="AA41" i="1"/>
  <c r="AA19" i="1"/>
  <c r="AA25" i="1" s="1"/>
  <c r="AA27" i="1" s="1"/>
  <c r="AA7" i="3" s="1"/>
  <c r="Z50" i="4"/>
  <c r="Z49" i="4"/>
  <c r="Z45" i="4"/>
  <c r="Z43" i="4"/>
  <c r="Z42" i="4"/>
  <c r="Z41" i="4"/>
  <c r="Z40" i="4"/>
  <c r="Z35" i="4"/>
  <c r="Z34" i="4"/>
  <c r="Z33" i="4"/>
  <c r="Z32" i="4"/>
  <c r="Z31" i="4"/>
  <c r="Z29" i="4"/>
  <c r="Z28" i="4"/>
  <c r="Z27" i="4"/>
  <c r="Z26" i="4"/>
  <c r="Z25" i="4"/>
  <c r="Z21" i="4"/>
  <c r="Z22" i="4"/>
  <c r="Z23" i="4"/>
  <c r="Z19" i="4"/>
  <c r="Z18" i="4"/>
  <c r="Z17" i="4"/>
  <c r="Z16" i="4"/>
  <c r="Z15" i="4"/>
  <c r="Z11" i="4"/>
  <c r="Z9" i="4"/>
  <c r="Z8" i="4"/>
  <c r="Z7" i="4"/>
  <c r="Y51" i="4"/>
  <c r="Y44" i="4"/>
  <c r="Y46" i="4" s="1"/>
  <c r="Y20" i="4"/>
  <c r="Y37" i="4" s="1"/>
  <c r="Y10" i="4"/>
  <c r="Y12" i="4" s="1"/>
  <c r="Y67" i="3"/>
  <c r="Y66" i="3"/>
  <c r="Y65" i="3"/>
  <c r="Z59" i="3"/>
  <c r="Z47" i="3"/>
  <c r="Y35" i="3"/>
  <c r="Z35" i="3" s="1"/>
  <c r="Y20" i="3"/>
  <c r="Z20" i="3" s="1"/>
  <c r="Z60" i="3"/>
  <c r="Z46" i="3"/>
  <c r="Z45" i="3"/>
  <c r="Z44" i="3"/>
  <c r="Z43" i="3"/>
  <c r="Z42" i="3"/>
  <c r="Z41" i="3"/>
  <c r="Z40" i="3"/>
  <c r="Z39" i="3"/>
  <c r="Z32" i="3"/>
  <c r="Z31" i="3"/>
  <c r="Z30" i="3"/>
  <c r="Z29" i="3"/>
  <c r="Z67" i="3" s="1"/>
  <c r="Z28" i="3"/>
  <c r="Z66" i="3" s="1"/>
  <c r="Z27" i="3"/>
  <c r="Z65" i="3" s="1"/>
  <c r="Z22" i="3"/>
  <c r="Z21" i="3"/>
  <c r="Z19" i="3"/>
  <c r="Z18" i="3"/>
  <c r="Z16" i="3"/>
  <c r="Z15" i="3"/>
  <c r="Z14" i="3"/>
  <c r="Z13" i="3"/>
  <c r="Z12" i="3"/>
  <c r="Z11" i="3"/>
  <c r="Z10" i="3"/>
  <c r="Z9" i="3"/>
  <c r="Y61" i="3"/>
  <c r="Y48" i="3"/>
  <c r="AE73" i="1" l="1"/>
  <c r="AE89" i="1" s="1"/>
  <c r="AA24" i="3"/>
  <c r="AA49" i="3" s="1"/>
  <c r="AE7" i="3"/>
  <c r="AE24" i="3" s="1"/>
  <c r="Z10" i="4"/>
  <c r="Z12" i="4" s="1"/>
  <c r="Z61" i="3"/>
  <c r="V42" i="2"/>
  <c r="AA40" i="1"/>
  <c r="AA58" i="1" s="1"/>
  <c r="AA60" i="1"/>
  <c r="AA73" i="1" s="1"/>
  <c r="Z51" i="4"/>
  <c r="Z44" i="4"/>
  <c r="Z46" i="4" s="1"/>
  <c r="Z20" i="4"/>
  <c r="Z37" i="4" s="1"/>
  <c r="Z48" i="3"/>
  <c r="Y36" i="3"/>
  <c r="Z36" i="3"/>
  <c r="U41" i="2"/>
  <c r="U34" i="2"/>
  <c r="U13" i="2"/>
  <c r="U20" i="2" s="1"/>
  <c r="Z7" i="1"/>
  <c r="Z86" i="1"/>
  <c r="Z84" i="1"/>
  <c r="Z83" i="1"/>
  <c r="Z82" i="1"/>
  <c r="Z81" i="1"/>
  <c r="Z80" i="1"/>
  <c r="Z79" i="1"/>
  <c r="Z78" i="1"/>
  <c r="Z77" i="1"/>
  <c r="Z75" i="1"/>
  <c r="Z72" i="1"/>
  <c r="Z70" i="1"/>
  <c r="Z68" i="1"/>
  <c r="Z67" i="1"/>
  <c r="Z66" i="1"/>
  <c r="Z65" i="1"/>
  <c r="Z64" i="1"/>
  <c r="Z63" i="1"/>
  <c r="Z62" i="1"/>
  <c r="Z56" i="1"/>
  <c r="Z54" i="1"/>
  <c r="Z52" i="1"/>
  <c r="Z51" i="1"/>
  <c r="Z50" i="1"/>
  <c r="Z49" i="1"/>
  <c r="Z46" i="1"/>
  <c r="Z44" i="1"/>
  <c r="Z43" i="1"/>
  <c r="Z26" i="1"/>
  <c r="Z23" i="1"/>
  <c r="Z22" i="1"/>
  <c r="Z21" i="1"/>
  <c r="Z20" i="1"/>
  <c r="Z16" i="1"/>
  <c r="Z15" i="1"/>
  <c r="Z14" i="1"/>
  <c r="Z13" i="1"/>
  <c r="Z12" i="1"/>
  <c r="Z10" i="1"/>
  <c r="Z9" i="1"/>
  <c r="Y75" i="1"/>
  <c r="Y89" i="1" s="1"/>
  <c r="Y55" i="1"/>
  <c r="Y53" i="1"/>
  <c r="Y69" i="1" s="1"/>
  <c r="Y48" i="1"/>
  <c r="Y42" i="1"/>
  <c r="Y41" i="1"/>
  <c r="Y19" i="1"/>
  <c r="AE64" i="3" l="1"/>
  <c r="AE68" i="3" s="1"/>
  <c r="AE49" i="3"/>
  <c r="AE51" i="3" s="1"/>
  <c r="AA64" i="3"/>
  <c r="AA68" i="3" s="1"/>
  <c r="Z18" i="1"/>
  <c r="Y25" i="1"/>
  <c r="Y27" i="1" s="1"/>
  <c r="Y7" i="3" s="1"/>
  <c r="Y24" i="3" s="1"/>
  <c r="Y64" i="3" s="1"/>
  <c r="Y68" i="3" s="1"/>
  <c r="Z89" i="1"/>
  <c r="U42" i="2"/>
  <c r="Z19" i="1"/>
  <c r="Z25" i="1" s="1"/>
  <c r="Z27" i="1" s="1"/>
  <c r="X67" i="3"/>
  <c r="X66" i="3"/>
  <c r="X65" i="3"/>
  <c r="Y60" i="1" l="1"/>
  <c r="Y73" i="1" s="1"/>
  <c r="Y40" i="1"/>
  <c r="Y58" i="1" s="1"/>
  <c r="Y49" i="3"/>
  <c r="X51" i="4"/>
  <c r="X44" i="4"/>
  <c r="X46" i="4" s="1"/>
  <c r="X20" i="4"/>
  <c r="X37" i="4" s="1"/>
  <c r="X10" i="4"/>
  <c r="X12" i="4" s="1"/>
  <c r="X61" i="3" l="1"/>
  <c r="X48" i="3"/>
  <c r="X36" i="3"/>
  <c r="T41" i="2"/>
  <c r="T34" i="2"/>
  <c r="T13" i="2"/>
  <c r="T20" i="2" s="1"/>
  <c r="T42" i="2" l="1"/>
  <c r="X75" i="1"/>
  <c r="X89" i="1" s="1"/>
  <c r="X55" i="1"/>
  <c r="X53" i="1"/>
  <c r="X69" i="1" s="1"/>
  <c r="X48" i="1"/>
  <c r="X42" i="1"/>
  <c r="X41" i="1"/>
  <c r="X19" i="1"/>
  <c r="X25" i="1" s="1"/>
  <c r="X27" i="1" s="1"/>
  <c r="X40" i="1" l="1"/>
  <c r="X58" i="1" s="1"/>
  <c r="X7" i="3"/>
  <c r="X24" i="3" s="1"/>
  <c r="X60" i="1"/>
  <c r="X73" i="1" s="1"/>
  <c r="W66" i="3"/>
  <c r="W65" i="3"/>
  <c r="X64" i="3" l="1"/>
  <c r="X68" i="3" s="1"/>
  <c r="X49" i="3"/>
  <c r="W51" i="4"/>
  <c r="W44" i="4"/>
  <c r="W46" i="4" s="1"/>
  <c r="W20" i="4"/>
  <c r="W37" i="4" s="1"/>
  <c r="W10" i="4"/>
  <c r="W12" i="4" s="1"/>
  <c r="W67" i="3" l="1"/>
  <c r="W61" i="3"/>
  <c r="W48" i="3"/>
  <c r="W36" i="3"/>
  <c r="S41" i="2" l="1"/>
  <c r="S34" i="2"/>
  <c r="S13" i="2"/>
  <c r="S20" i="2" s="1"/>
  <c r="W41" i="1"/>
  <c r="W75" i="1"/>
  <c r="W89" i="1" s="1"/>
  <c r="W55" i="1"/>
  <c r="W53" i="1"/>
  <c r="W69" i="1" s="1"/>
  <c r="W48" i="1"/>
  <c r="W42" i="1"/>
  <c r="W19" i="1"/>
  <c r="W25" i="1" s="1"/>
  <c r="W27" i="1" s="1"/>
  <c r="W7" i="3" s="1"/>
  <c r="W24" i="3" s="1"/>
  <c r="W64" i="3" l="1"/>
  <c r="W68" i="3" s="1"/>
  <c r="W40" i="1"/>
  <c r="W58" i="1" s="1"/>
  <c r="W49" i="3"/>
  <c r="S42" i="2"/>
  <c r="W60" i="1"/>
  <c r="W73" i="1" s="1"/>
  <c r="U26" i="4"/>
  <c r="P26" i="4"/>
  <c r="K26" i="4"/>
  <c r="F26" i="4"/>
  <c r="V51" i="4"/>
  <c r="V44" i="4"/>
  <c r="V46" i="4" s="1"/>
  <c r="V20" i="4"/>
  <c r="V37" i="4" s="1"/>
  <c r="V10" i="4"/>
  <c r="V12" i="4" s="1"/>
  <c r="U15" i="3"/>
  <c r="P15" i="3"/>
  <c r="K15" i="3"/>
  <c r="F15" i="3"/>
  <c r="V67" i="3"/>
  <c r="V66" i="3"/>
  <c r="V65" i="3"/>
  <c r="V61" i="3"/>
  <c r="V48" i="3"/>
  <c r="V36" i="3"/>
  <c r="R41" i="2"/>
  <c r="R34" i="2"/>
  <c r="R13" i="2"/>
  <c r="R20" i="2" s="1"/>
  <c r="U78" i="1"/>
  <c r="P78" i="1"/>
  <c r="K78" i="1"/>
  <c r="F78" i="1"/>
  <c r="U63" i="1"/>
  <c r="P63" i="1"/>
  <c r="K63" i="1"/>
  <c r="F63" i="1"/>
  <c r="V48" i="1"/>
  <c r="Z48" i="1" s="1"/>
  <c r="U48" i="1"/>
  <c r="P48" i="1"/>
  <c r="K48" i="1"/>
  <c r="F48" i="1"/>
  <c r="U22" i="1"/>
  <c r="P22" i="1"/>
  <c r="K22" i="1"/>
  <c r="F22" i="1"/>
  <c r="V75" i="1"/>
  <c r="V89" i="1" s="1"/>
  <c r="V55" i="1"/>
  <c r="Z55" i="1" s="1"/>
  <c r="V53" i="1"/>
  <c r="V42" i="1"/>
  <c r="Z42" i="1" s="1"/>
  <c r="V41" i="1"/>
  <c r="Z41" i="1" s="1"/>
  <c r="V19" i="1"/>
  <c r="V25" i="1" s="1"/>
  <c r="V69" i="1" l="1"/>
  <c r="Z69" i="1" s="1"/>
  <c r="Z53" i="1"/>
  <c r="R42" i="2"/>
  <c r="V27" i="1"/>
  <c r="V7" i="3" s="1"/>
  <c r="T10" i="4"/>
  <c r="T12" i="4" s="1"/>
  <c r="U50" i="4"/>
  <c r="U49" i="4"/>
  <c r="U45" i="4"/>
  <c r="U43" i="4"/>
  <c r="U42" i="4"/>
  <c r="U41" i="4"/>
  <c r="U40" i="4"/>
  <c r="U35" i="4"/>
  <c r="U34" i="4"/>
  <c r="U33" i="4"/>
  <c r="U32" i="4"/>
  <c r="U31" i="4"/>
  <c r="U29" i="4"/>
  <c r="U28" i="4"/>
  <c r="U27" i="4"/>
  <c r="U25" i="4"/>
  <c r="U21" i="4"/>
  <c r="U22" i="4"/>
  <c r="U23" i="4"/>
  <c r="U19" i="4"/>
  <c r="U18" i="4"/>
  <c r="U17" i="4"/>
  <c r="U16" i="4"/>
  <c r="U15" i="4"/>
  <c r="U11" i="4"/>
  <c r="U9" i="4"/>
  <c r="U8" i="4"/>
  <c r="U7" i="4"/>
  <c r="T51" i="4"/>
  <c r="T44" i="4"/>
  <c r="T46" i="4" s="1"/>
  <c r="T20" i="4"/>
  <c r="T37" i="4" s="1"/>
  <c r="V40" i="1" l="1"/>
  <c r="V60" i="1"/>
  <c r="V24" i="3"/>
  <c r="V64" i="3" s="1"/>
  <c r="V68" i="3" s="1"/>
  <c r="Z7" i="3"/>
  <c r="Z24" i="3" s="1"/>
  <c r="U10" i="4"/>
  <c r="U12" i="4" s="1"/>
  <c r="U44" i="4"/>
  <c r="U46" i="4" s="1"/>
  <c r="U51" i="4"/>
  <c r="U20" i="4"/>
  <c r="U37" i="4" s="1"/>
  <c r="V73" i="1" l="1"/>
  <c r="Z60" i="1"/>
  <c r="Z73" i="1" s="1"/>
  <c r="V58" i="1"/>
  <c r="Z40" i="1"/>
  <c r="Z58" i="1" s="1"/>
  <c r="V49" i="3"/>
  <c r="Z64" i="3"/>
  <c r="Z68" i="3" s="1"/>
  <c r="Z49" i="3"/>
  <c r="U60" i="3"/>
  <c r="U59" i="3"/>
  <c r="U46" i="3"/>
  <c r="U45" i="3"/>
  <c r="U44" i="3"/>
  <c r="U43" i="3"/>
  <c r="U42" i="3"/>
  <c r="U41" i="3"/>
  <c r="U40" i="3"/>
  <c r="U39" i="3"/>
  <c r="U32" i="3"/>
  <c r="U31" i="3"/>
  <c r="U30" i="3"/>
  <c r="U29" i="3"/>
  <c r="U67" i="3" s="1"/>
  <c r="U28" i="3"/>
  <c r="U66" i="3" s="1"/>
  <c r="U27" i="3"/>
  <c r="U65" i="3" s="1"/>
  <c r="U22" i="3"/>
  <c r="U21" i="3"/>
  <c r="U20" i="3"/>
  <c r="U19" i="3"/>
  <c r="U18" i="3"/>
  <c r="U16" i="3"/>
  <c r="U14" i="3"/>
  <c r="U13" i="3"/>
  <c r="U12" i="3"/>
  <c r="U11" i="3"/>
  <c r="U10" i="3"/>
  <c r="U9" i="3"/>
  <c r="T67" i="3"/>
  <c r="T66" i="3"/>
  <c r="T65" i="3"/>
  <c r="T61" i="3"/>
  <c r="T48" i="3"/>
  <c r="T36" i="3"/>
  <c r="Q41" i="2"/>
  <c r="Q34" i="2"/>
  <c r="Q42" i="2" s="1"/>
  <c r="Q13" i="2"/>
  <c r="Q20" i="2" s="1"/>
  <c r="T19" i="1"/>
  <c r="T25" i="1" s="1"/>
  <c r="U61" i="3" l="1"/>
  <c r="U7" i="1" l="1"/>
  <c r="U86" i="1"/>
  <c r="U84" i="1"/>
  <c r="U83" i="1"/>
  <c r="U82" i="1"/>
  <c r="U81" i="1"/>
  <c r="U80" i="1"/>
  <c r="U79" i="1"/>
  <c r="U77" i="1"/>
  <c r="U75" i="1"/>
  <c r="U72" i="1"/>
  <c r="U70" i="1"/>
  <c r="U68" i="1"/>
  <c r="U67" i="1"/>
  <c r="U66" i="1"/>
  <c r="U65" i="1"/>
  <c r="U64" i="1"/>
  <c r="U62" i="1"/>
  <c r="U56" i="1"/>
  <c r="U54" i="1"/>
  <c r="U52" i="1"/>
  <c r="U51" i="1"/>
  <c r="U50" i="1"/>
  <c r="U46" i="1"/>
  <c r="U44" i="1"/>
  <c r="U43" i="1"/>
  <c r="U26" i="1"/>
  <c r="U23" i="1"/>
  <c r="U21" i="1"/>
  <c r="U20" i="1"/>
  <c r="U16" i="1"/>
  <c r="U15" i="1"/>
  <c r="U14" i="1"/>
  <c r="U13" i="1"/>
  <c r="U12" i="1"/>
  <c r="U10" i="1"/>
  <c r="U9" i="1"/>
  <c r="T75" i="1"/>
  <c r="T89" i="1" s="1"/>
  <c r="T55" i="1"/>
  <c r="T53" i="1"/>
  <c r="T69" i="1" s="1"/>
  <c r="T49" i="1"/>
  <c r="T42" i="1"/>
  <c r="T41" i="1"/>
  <c r="T27" i="1"/>
  <c r="U18" i="1" l="1"/>
  <c r="U19" i="1" s="1"/>
  <c r="T40" i="1"/>
  <c r="T7" i="3"/>
  <c r="T24" i="3" s="1"/>
  <c r="U89" i="1"/>
  <c r="T60" i="1"/>
  <c r="S51" i="4"/>
  <c r="S44" i="4"/>
  <c r="S46" i="4" s="1"/>
  <c r="S20" i="4"/>
  <c r="S37" i="4" s="1"/>
  <c r="S10" i="4"/>
  <c r="S12" i="4" s="1"/>
  <c r="S65" i="3"/>
  <c r="S35" i="3"/>
  <c r="U35" i="3" s="1"/>
  <c r="U36" i="3" s="1"/>
  <c r="S67" i="3"/>
  <c r="S66" i="3"/>
  <c r="S61" i="3"/>
  <c r="S48" i="3"/>
  <c r="U25" i="1" l="1"/>
  <c r="U27" i="1" s="1"/>
  <c r="T64" i="3"/>
  <c r="T68" i="3" s="1"/>
  <c r="T49" i="3"/>
  <c r="S36" i="3"/>
  <c r="T58" i="1"/>
  <c r="T73" i="1"/>
  <c r="P41" i="2"/>
  <c r="P34" i="2"/>
  <c r="P13" i="2"/>
  <c r="P20" i="2" s="1"/>
  <c r="S75" i="1"/>
  <c r="S89" i="1" s="1"/>
  <c r="S55" i="1"/>
  <c r="S53" i="1"/>
  <c r="S69" i="1" s="1"/>
  <c r="S49" i="1"/>
  <c r="S42" i="1"/>
  <c r="S41" i="1"/>
  <c r="S19" i="1"/>
  <c r="S25" i="1" l="1"/>
  <c r="S27" i="1" s="1"/>
  <c r="S7" i="3" s="1"/>
  <c r="S24" i="3" s="1"/>
  <c r="S64" i="3" s="1"/>
  <c r="S68" i="3" s="1"/>
  <c r="P42" i="2"/>
  <c r="R51" i="4"/>
  <c r="R44" i="4"/>
  <c r="R46" i="4" s="1"/>
  <c r="R20" i="4"/>
  <c r="R37" i="4" s="1"/>
  <c r="R10" i="4"/>
  <c r="R12" i="4" s="1"/>
  <c r="R67" i="3"/>
  <c r="R66" i="3"/>
  <c r="R65" i="3"/>
  <c r="R61" i="3"/>
  <c r="R48" i="3"/>
  <c r="R36" i="3"/>
  <c r="O41" i="2"/>
  <c r="O34" i="2"/>
  <c r="O13" i="2"/>
  <c r="O20" i="2" s="1"/>
  <c r="R75" i="1"/>
  <c r="R89" i="1" s="1"/>
  <c r="R55" i="1"/>
  <c r="R53" i="1"/>
  <c r="R69" i="1" s="1"/>
  <c r="R49" i="1"/>
  <c r="R42" i="1"/>
  <c r="R41" i="1"/>
  <c r="R19" i="1"/>
  <c r="S60" i="1" l="1"/>
  <c r="S73" i="1" s="1"/>
  <c r="S40" i="1"/>
  <c r="S58" i="1" s="1"/>
  <c r="S49" i="3"/>
  <c r="R25" i="1"/>
  <c r="R27" i="1" s="1"/>
  <c r="O42" i="2"/>
  <c r="E20" i="3"/>
  <c r="R7" i="3" l="1"/>
  <c r="R24" i="3" s="1"/>
  <c r="R64" i="3" s="1"/>
  <c r="R40" i="1"/>
  <c r="R58" i="1" s="1"/>
  <c r="R60" i="1"/>
  <c r="R73" i="1" s="1"/>
  <c r="D20" i="3"/>
  <c r="D22" i="3"/>
  <c r="R68" i="3" l="1"/>
  <c r="R49" i="3"/>
  <c r="C20" i="3"/>
  <c r="B20" i="3" l="1"/>
  <c r="J20" i="3" l="1"/>
  <c r="I20" i="3" l="1"/>
  <c r="I22" i="3"/>
  <c r="H20" i="3" l="1"/>
  <c r="G20" i="3" l="1"/>
  <c r="N20" i="3" l="1"/>
  <c r="N22" i="3"/>
  <c r="M20" i="3" l="1"/>
  <c r="M22" i="3"/>
  <c r="L20" i="3" l="1"/>
  <c r="L22" i="3"/>
  <c r="O20" i="3"/>
  <c r="P31" i="4" l="1"/>
  <c r="K31" i="4"/>
  <c r="F31" i="4"/>
  <c r="P25" i="4"/>
  <c r="K25" i="4"/>
  <c r="F25" i="4"/>
  <c r="Q47" i="3"/>
  <c r="P46" i="3"/>
  <c r="K46" i="3"/>
  <c r="F46" i="3"/>
  <c r="P32" i="3"/>
  <c r="K32" i="3"/>
  <c r="F32" i="3"/>
  <c r="P12" i="3"/>
  <c r="K12" i="3"/>
  <c r="F12" i="3"/>
  <c r="P11" i="3"/>
  <c r="K11" i="3"/>
  <c r="F11" i="3"/>
  <c r="P79" i="1"/>
  <c r="K79" i="1"/>
  <c r="F79" i="1"/>
  <c r="P77" i="1"/>
  <c r="K77" i="1"/>
  <c r="F77" i="1"/>
  <c r="P64" i="1"/>
  <c r="K64" i="1"/>
  <c r="F64" i="1"/>
  <c r="P62" i="1"/>
  <c r="K62" i="1"/>
  <c r="F62" i="1"/>
  <c r="P46" i="1"/>
  <c r="K46" i="1"/>
  <c r="F46" i="1"/>
  <c r="P50" i="1"/>
  <c r="K50" i="1"/>
  <c r="F50" i="1"/>
  <c r="P21" i="1"/>
  <c r="K21" i="1"/>
  <c r="F21" i="1"/>
  <c r="P12" i="1"/>
  <c r="K12" i="1"/>
  <c r="F12" i="1"/>
  <c r="Q51" i="4"/>
  <c r="Q44" i="4"/>
  <c r="Q46" i="4" s="1"/>
  <c r="Q20" i="4"/>
  <c r="Q37" i="4" s="1"/>
  <c r="Q10" i="4"/>
  <c r="Q12" i="4" s="1"/>
  <c r="Q67" i="3"/>
  <c r="Q66" i="3"/>
  <c r="Q65" i="3"/>
  <c r="Q61" i="3"/>
  <c r="Q36" i="3"/>
  <c r="N41" i="2"/>
  <c r="N34" i="2"/>
  <c r="N13" i="2"/>
  <c r="N20" i="2" s="1"/>
  <c r="Q75" i="1"/>
  <c r="Q89" i="1" s="1"/>
  <c r="Q55" i="1"/>
  <c r="U55" i="1" s="1"/>
  <c r="Q53" i="1"/>
  <c r="Q49" i="1"/>
  <c r="U49" i="1" s="1"/>
  <c r="Q42" i="1"/>
  <c r="U42" i="1" s="1"/>
  <c r="Q41" i="1"/>
  <c r="U41" i="1" s="1"/>
  <c r="Q19" i="1"/>
  <c r="Q25" i="1" s="1"/>
  <c r="Q69" i="1" l="1"/>
  <c r="U69" i="1" s="1"/>
  <c r="U53" i="1"/>
  <c r="Q48" i="3"/>
  <c r="U47" i="3"/>
  <c r="U48" i="3" s="1"/>
  <c r="Q27" i="1"/>
  <c r="Q7" i="3" s="1"/>
  <c r="N42" i="2"/>
  <c r="N47" i="3"/>
  <c r="L47" i="3"/>
  <c r="Q24" i="3" l="1"/>
  <c r="Q64" i="3" s="1"/>
  <c r="Q68" i="3" s="1"/>
  <c r="U7" i="3"/>
  <c r="U24" i="3" s="1"/>
  <c r="U64" i="3" s="1"/>
  <c r="U68" i="3" s="1"/>
  <c r="Q60" i="1"/>
  <c r="Q40" i="1"/>
  <c r="P39" i="3"/>
  <c r="P19" i="3"/>
  <c r="K67" i="1"/>
  <c r="F50" i="3"/>
  <c r="Q49" i="3" l="1"/>
  <c r="Q73" i="1"/>
  <c r="U60" i="1"/>
  <c r="U73" i="1" s="1"/>
  <c r="U49" i="3"/>
  <c r="Q58" i="1"/>
  <c r="U40" i="1"/>
  <c r="U58" i="1" s="1"/>
  <c r="F66" i="1"/>
  <c r="B75" i="1" l="1"/>
  <c r="P72" i="1" l="1"/>
  <c r="O10" i="3" l="1"/>
  <c r="P60" i="3" l="1"/>
  <c r="O47" i="3"/>
  <c r="O35" i="3"/>
  <c r="O29" i="3"/>
  <c r="O28" i="3"/>
  <c r="O27" i="3"/>
  <c r="O65" i="3" s="1"/>
  <c r="O21" i="3" l="1"/>
  <c r="O16" i="3" l="1"/>
  <c r="O14" i="3"/>
  <c r="O13" i="3"/>
  <c r="O9" i="3"/>
  <c r="O7" i="3"/>
  <c r="C35" i="3" l="1"/>
  <c r="E35" i="3"/>
  <c r="B35" i="3"/>
  <c r="E19" i="4" l="1"/>
  <c r="D19" i="4"/>
  <c r="C19" i="4"/>
  <c r="B19" i="4"/>
  <c r="E29" i="4"/>
  <c r="D29" i="4"/>
  <c r="C29" i="4"/>
  <c r="B29" i="4"/>
  <c r="J35" i="4" l="1"/>
  <c r="J32" i="4"/>
  <c r="J29" i="4"/>
  <c r="E15" i="4"/>
  <c r="E17" i="4"/>
  <c r="C18" i="4"/>
  <c r="B18" i="4"/>
  <c r="P20" i="1" l="1"/>
  <c r="O50" i="4"/>
  <c r="O22" i="4" l="1"/>
  <c r="O11" i="4"/>
  <c r="M13" i="2"/>
  <c r="L13" i="2"/>
  <c r="K13" i="2"/>
  <c r="J13" i="2"/>
  <c r="I13" i="2"/>
  <c r="H13" i="2"/>
  <c r="G13" i="2"/>
  <c r="F13" i="2"/>
  <c r="E13" i="2"/>
  <c r="D13" i="2"/>
  <c r="C13" i="2"/>
  <c r="B13" i="2"/>
  <c r="E9" i="1" l="1"/>
  <c r="D9" i="1"/>
  <c r="C9" i="1"/>
  <c r="B9" i="1"/>
  <c r="E23" i="1"/>
  <c r="D23" i="1"/>
  <c r="D49" i="1" s="1"/>
  <c r="C23" i="1"/>
  <c r="C49" i="1" s="1"/>
  <c r="B23" i="1"/>
  <c r="B49" i="1" s="1"/>
  <c r="E18" i="4"/>
  <c r="D18" i="4"/>
  <c r="F75" i="1" l="1"/>
  <c r="C80" i="1"/>
  <c r="O44" i="4" l="1"/>
  <c r="N44" i="4"/>
  <c r="M44" i="4"/>
  <c r="L44" i="4"/>
  <c r="J44" i="4"/>
  <c r="J22" i="4" s="1"/>
  <c r="I44" i="4"/>
  <c r="I22" i="4" s="1"/>
  <c r="H44" i="4"/>
  <c r="H22" i="4" s="1"/>
  <c r="G44" i="4"/>
  <c r="G22" i="4" s="1"/>
  <c r="E44" i="4"/>
  <c r="E22" i="4" s="1"/>
  <c r="D44" i="4"/>
  <c r="D22" i="4" s="1"/>
  <c r="C44" i="4"/>
  <c r="C22" i="4" s="1"/>
  <c r="B44" i="4"/>
  <c r="B22" i="4" s="1"/>
  <c r="P50" i="4"/>
  <c r="P49" i="4"/>
  <c r="P45" i="4"/>
  <c r="P43" i="4"/>
  <c r="P42" i="4"/>
  <c r="P41" i="4"/>
  <c r="P40" i="4"/>
  <c r="P35" i="4"/>
  <c r="P34" i="4"/>
  <c r="P33" i="4"/>
  <c r="P32" i="4"/>
  <c r="P29" i="4"/>
  <c r="P28" i="4"/>
  <c r="P27" i="4"/>
  <c r="P21" i="4"/>
  <c r="P22" i="4"/>
  <c r="P23" i="4"/>
  <c r="P19" i="4"/>
  <c r="P18" i="4"/>
  <c r="P17" i="4"/>
  <c r="P16" i="4"/>
  <c r="P15" i="4"/>
  <c r="P11" i="4"/>
  <c r="P9" i="4"/>
  <c r="P8" i="4"/>
  <c r="P7" i="4"/>
  <c r="K50" i="4"/>
  <c r="K49" i="4"/>
  <c r="K51" i="4" s="1"/>
  <c r="K45" i="4"/>
  <c r="K43" i="4"/>
  <c r="K42" i="4"/>
  <c r="K41" i="4"/>
  <c r="K40" i="4"/>
  <c r="K35" i="4"/>
  <c r="K34" i="4"/>
  <c r="K33" i="4"/>
  <c r="K32" i="4"/>
  <c r="K29" i="4"/>
  <c r="K28" i="4"/>
  <c r="K19" i="4"/>
  <c r="K18" i="4"/>
  <c r="K17" i="4"/>
  <c r="K16" i="4"/>
  <c r="K15" i="4"/>
  <c r="K11" i="4"/>
  <c r="K9" i="4"/>
  <c r="K8" i="4"/>
  <c r="K7" i="4"/>
  <c r="F50" i="4"/>
  <c r="F49" i="4"/>
  <c r="F45" i="4"/>
  <c r="F43" i="4"/>
  <c r="F42" i="4"/>
  <c r="F41" i="4"/>
  <c r="F40" i="4"/>
  <c r="F35" i="4"/>
  <c r="F34" i="4"/>
  <c r="F33" i="4"/>
  <c r="F32" i="4"/>
  <c r="F29" i="4"/>
  <c r="F28" i="4"/>
  <c r="F11" i="4"/>
  <c r="F9" i="4"/>
  <c r="F8" i="4"/>
  <c r="F7" i="4"/>
  <c r="P47" i="3"/>
  <c r="P45" i="3"/>
  <c r="P44" i="3"/>
  <c r="P43" i="3"/>
  <c r="P42" i="3"/>
  <c r="P41" i="3"/>
  <c r="P40" i="3"/>
  <c r="P35" i="3"/>
  <c r="P31" i="3"/>
  <c r="P30" i="3"/>
  <c r="P29" i="3"/>
  <c r="P28" i="3"/>
  <c r="P27" i="3"/>
  <c r="P22" i="3"/>
  <c r="P21" i="3"/>
  <c r="P20" i="3"/>
  <c r="P18" i="3"/>
  <c r="P16" i="3"/>
  <c r="P14" i="3"/>
  <c r="P13" i="3"/>
  <c r="P10" i="3"/>
  <c r="P9" i="3"/>
  <c r="K45" i="3"/>
  <c r="K44" i="3"/>
  <c r="K43" i="3"/>
  <c r="K42" i="3"/>
  <c r="K41" i="3"/>
  <c r="K40" i="3"/>
  <c r="K39" i="3"/>
  <c r="K31" i="3"/>
  <c r="K30" i="3"/>
  <c r="K29" i="3"/>
  <c r="K28" i="3"/>
  <c r="K27" i="3"/>
  <c r="K22" i="3"/>
  <c r="K21" i="3"/>
  <c r="K19" i="3"/>
  <c r="K18" i="3"/>
  <c r="K16" i="3"/>
  <c r="K14" i="3"/>
  <c r="K13" i="3"/>
  <c r="K10" i="3"/>
  <c r="K9" i="3"/>
  <c r="F45" i="3"/>
  <c r="F44" i="3"/>
  <c r="F43" i="3"/>
  <c r="F42" i="3"/>
  <c r="F41" i="3"/>
  <c r="F40" i="3"/>
  <c r="F31" i="3"/>
  <c r="F30" i="3"/>
  <c r="F22" i="3"/>
  <c r="F21" i="3"/>
  <c r="F18" i="3"/>
  <c r="F14" i="3"/>
  <c r="P26" i="1"/>
  <c r="P86" i="1"/>
  <c r="P84" i="1"/>
  <c r="P83" i="1"/>
  <c r="P82" i="1"/>
  <c r="P81" i="1"/>
  <c r="P80" i="1"/>
  <c r="K88" i="1"/>
  <c r="K86" i="1"/>
  <c r="K85" i="1"/>
  <c r="K84" i="1"/>
  <c r="K83" i="1"/>
  <c r="K82" i="1"/>
  <c r="K81" i="1"/>
  <c r="K80" i="1"/>
  <c r="F80" i="1"/>
  <c r="P70" i="1"/>
  <c r="P68" i="1"/>
  <c r="P67" i="1"/>
  <c r="P66" i="1"/>
  <c r="P65" i="1"/>
  <c r="K72" i="1"/>
  <c r="K70" i="1"/>
  <c r="K68" i="1"/>
  <c r="K66" i="1"/>
  <c r="K65" i="1"/>
  <c r="F68" i="1"/>
  <c r="P56" i="1"/>
  <c r="P54" i="1"/>
  <c r="P52" i="1"/>
  <c r="P51" i="1"/>
  <c r="P44" i="1"/>
  <c r="P43" i="1"/>
  <c r="K56" i="1"/>
  <c r="K52" i="1"/>
  <c r="K51" i="1"/>
  <c r="K44" i="1"/>
  <c r="K43" i="1"/>
  <c r="P23" i="1"/>
  <c r="P16" i="1"/>
  <c r="P15" i="1"/>
  <c r="P14" i="1"/>
  <c r="P13" i="1"/>
  <c r="P10" i="1"/>
  <c r="P9" i="1"/>
  <c r="P7" i="1"/>
  <c r="K26" i="1"/>
  <c r="K23" i="1"/>
  <c r="K20" i="1"/>
  <c r="K16" i="1"/>
  <c r="K15" i="1"/>
  <c r="K14" i="1"/>
  <c r="K13" i="1"/>
  <c r="K10" i="1"/>
  <c r="K9" i="1"/>
  <c r="K7" i="1"/>
  <c r="F88" i="1"/>
  <c r="F86" i="1"/>
  <c r="F85" i="1"/>
  <c r="F84" i="1"/>
  <c r="F83" i="1"/>
  <c r="F82" i="1"/>
  <c r="F81" i="1"/>
  <c r="F72" i="1"/>
  <c r="F70" i="1"/>
  <c r="F69" i="1"/>
  <c r="F67" i="1"/>
  <c r="F56" i="1"/>
  <c r="F54" i="1"/>
  <c r="F52" i="1"/>
  <c r="F51" i="1"/>
  <c r="F44" i="1"/>
  <c r="F43" i="1"/>
  <c r="F26" i="1"/>
  <c r="F23" i="1"/>
  <c r="F20" i="1"/>
  <c r="F16" i="1"/>
  <c r="F15" i="1"/>
  <c r="F14" i="1"/>
  <c r="F13" i="1"/>
  <c r="F9" i="1"/>
  <c r="F7" i="1"/>
  <c r="K18" i="1" l="1"/>
  <c r="K19" i="1" s="1"/>
  <c r="K25" i="1" s="1"/>
  <c r="P18" i="1"/>
  <c r="F44" i="4"/>
  <c r="K44" i="4"/>
  <c r="K46" i="4" s="1"/>
  <c r="P36" i="3"/>
  <c r="P20" i="4"/>
  <c r="P37" i="4" s="1"/>
  <c r="K10" i="4"/>
  <c r="K12" i="4" s="1"/>
  <c r="K20" i="4"/>
  <c r="P44" i="4"/>
  <c r="P46" i="4" s="1"/>
  <c r="P10" i="4"/>
  <c r="P12" i="4" s="1"/>
  <c r="P19" i="1"/>
  <c r="P25" i="1" s="1"/>
  <c r="P51" i="4"/>
  <c r="B89" i="1"/>
  <c r="C75" i="1"/>
  <c r="D75" i="1"/>
  <c r="D89" i="1" s="1"/>
  <c r="E75" i="1"/>
  <c r="E89" i="1" s="1"/>
  <c r="G75" i="1"/>
  <c r="G89" i="1" s="1"/>
  <c r="H75" i="1"/>
  <c r="H89" i="1" s="1"/>
  <c r="I75" i="1"/>
  <c r="I89" i="1" s="1"/>
  <c r="J75" i="1"/>
  <c r="J89" i="1" s="1"/>
  <c r="K75" i="1"/>
  <c r="L75" i="1"/>
  <c r="L89" i="1" s="1"/>
  <c r="M75" i="1"/>
  <c r="M89" i="1" s="1"/>
  <c r="N75" i="1"/>
  <c r="N89" i="1" s="1"/>
  <c r="O75" i="1"/>
  <c r="O89" i="1" s="1"/>
  <c r="P75" i="1"/>
  <c r="P27" i="1" l="1"/>
  <c r="K27" i="1"/>
  <c r="C89" i="1"/>
  <c r="K89" i="1"/>
  <c r="P89" i="1"/>
  <c r="F89" i="1" l="1"/>
  <c r="F19" i="4"/>
  <c r="E16" i="4"/>
  <c r="D17" i="4"/>
  <c r="D16" i="4"/>
  <c r="D15" i="4"/>
  <c r="C17" i="4"/>
  <c r="C16" i="4"/>
  <c r="C15" i="4"/>
  <c r="F18" i="4"/>
  <c r="B17" i="4"/>
  <c r="B16" i="4"/>
  <c r="B15" i="4"/>
  <c r="F15" i="4" l="1"/>
  <c r="F16" i="4"/>
  <c r="F17" i="4"/>
  <c r="B21" i="4"/>
  <c r="C21" i="4"/>
  <c r="D21" i="4"/>
  <c r="E21" i="4"/>
  <c r="H21" i="4"/>
  <c r="I21" i="4"/>
  <c r="J21" i="4"/>
  <c r="G21" i="4"/>
  <c r="H27" i="4"/>
  <c r="I27" i="4"/>
  <c r="J27" i="4"/>
  <c r="G27" i="4"/>
  <c r="B51" i="4"/>
  <c r="B23" i="4" s="1"/>
  <c r="C51" i="4"/>
  <c r="C23" i="4" s="1"/>
  <c r="D51" i="4"/>
  <c r="D23" i="4" s="1"/>
  <c r="E51" i="4"/>
  <c r="E23" i="4" s="1"/>
  <c r="B46" i="4"/>
  <c r="C46" i="4"/>
  <c r="D46" i="4"/>
  <c r="E46" i="4"/>
  <c r="B20" i="4"/>
  <c r="C20" i="4"/>
  <c r="D20" i="4"/>
  <c r="E20" i="4"/>
  <c r="B10" i="4"/>
  <c r="B12" i="4" s="1"/>
  <c r="C10" i="4"/>
  <c r="C12" i="4" s="1"/>
  <c r="D10" i="4"/>
  <c r="D12" i="4" s="1"/>
  <c r="E10" i="4"/>
  <c r="E12" i="4" s="1"/>
  <c r="G51" i="4"/>
  <c r="G23" i="4" s="1"/>
  <c r="H51" i="4"/>
  <c r="H23" i="4" s="1"/>
  <c r="I51" i="4"/>
  <c r="I23" i="4" s="1"/>
  <c r="J51" i="4"/>
  <c r="J23" i="4" s="1"/>
  <c r="G46" i="4"/>
  <c r="H46" i="4"/>
  <c r="I46" i="4"/>
  <c r="J46" i="4"/>
  <c r="G20" i="4"/>
  <c r="H20" i="4"/>
  <c r="I20" i="4"/>
  <c r="J20" i="4"/>
  <c r="G10" i="4"/>
  <c r="G12" i="4" s="1"/>
  <c r="H10" i="4"/>
  <c r="H12" i="4" s="1"/>
  <c r="I10" i="4"/>
  <c r="I12" i="4" s="1"/>
  <c r="J10" i="4"/>
  <c r="J12" i="4" s="1"/>
  <c r="L51" i="4"/>
  <c r="M51" i="4"/>
  <c r="N51" i="4"/>
  <c r="L46" i="4"/>
  <c r="M46" i="4"/>
  <c r="N46" i="4"/>
  <c r="L20" i="4"/>
  <c r="L37" i="4" s="1"/>
  <c r="M20" i="4"/>
  <c r="M37" i="4" s="1"/>
  <c r="N20" i="4"/>
  <c r="N37" i="4" s="1"/>
  <c r="L10" i="4"/>
  <c r="L12" i="4" s="1"/>
  <c r="M10" i="4"/>
  <c r="M12" i="4" s="1"/>
  <c r="N10" i="4"/>
  <c r="N12" i="4" s="1"/>
  <c r="O51" i="4"/>
  <c r="O46" i="4"/>
  <c r="O20" i="4"/>
  <c r="O37" i="4" s="1"/>
  <c r="O10" i="4"/>
  <c r="O12" i="4" s="1"/>
  <c r="K27" i="4" l="1"/>
  <c r="K21" i="4"/>
  <c r="K23" i="4"/>
  <c r="F23" i="4"/>
  <c r="F21" i="4"/>
  <c r="I37" i="4"/>
  <c r="J37" i="4"/>
  <c r="H37" i="4"/>
  <c r="F51" i="4"/>
  <c r="F20" i="4"/>
  <c r="F46" i="4"/>
  <c r="F10" i="4"/>
  <c r="F12" i="4" s="1"/>
  <c r="B67" i="3"/>
  <c r="C67" i="3"/>
  <c r="D67" i="3"/>
  <c r="G67" i="3"/>
  <c r="H67" i="3"/>
  <c r="I67" i="3"/>
  <c r="J67" i="3"/>
  <c r="L67" i="3"/>
  <c r="M67" i="3"/>
  <c r="N67" i="3"/>
  <c r="O67" i="3"/>
  <c r="B66" i="3"/>
  <c r="C66" i="3"/>
  <c r="D66" i="3"/>
  <c r="G66" i="3"/>
  <c r="H66" i="3"/>
  <c r="I66" i="3"/>
  <c r="J66" i="3"/>
  <c r="L66" i="3"/>
  <c r="M66" i="3"/>
  <c r="N66" i="3"/>
  <c r="O66" i="3"/>
  <c r="B65" i="3"/>
  <c r="C65" i="3"/>
  <c r="D65" i="3"/>
  <c r="G65" i="3"/>
  <c r="H65" i="3"/>
  <c r="I65" i="3"/>
  <c r="J65" i="3"/>
  <c r="L65" i="3"/>
  <c r="M65" i="3"/>
  <c r="N65" i="3"/>
  <c r="M59" i="3"/>
  <c r="N59" i="3"/>
  <c r="O59" i="3"/>
  <c r="L59" i="3"/>
  <c r="H59" i="3"/>
  <c r="I59" i="3"/>
  <c r="J59" i="3"/>
  <c r="K59" i="3" s="1"/>
  <c r="G59" i="3"/>
  <c r="C59" i="3"/>
  <c r="D59" i="3"/>
  <c r="E59" i="3"/>
  <c r="F59" i="3" s="1"/>
  <c r="B59" i="3"/>
  <c r="L48" i="3"/>
  <c r="P67" i="3"/>
  <c r="P66" i="3"/>
  <c r="P65" i="3"/>
  <c r="J47" i="3"/>
  <c r="K47" i="3" s="1"/>
  <c r="J35" i="3"/>
  <c r="K35" i="3" s="1"/>
  <c r="K20" i="3"/>
  <c r="K67" i="3"/>
  <c r="K66" i="3"/>
  <c r="K65" i="3"/>
  <c r="P59" i="3" l="1"/>
  <c r="O61" i="3"/>
  <c r="G37" i="4"/>
  <c r="K22" i="4"/>
  <c r="K37" i="4" s="1"/>
  <c r="F22" i="4"/>
  <c r="F20" i="3"/>
  <c r="P48" i="3"/>
  <c r="K48" i="3"/>
  <c r="K36" i="3"/>
  <c r="B27" i="4"/>
  <c r="C27" i="4"/>
  <c r="C37" i="4" s="1"/>
  <c r="D27" i="4"/>
  <c r="D37" i="4" s="1"/>
  <c r="E27" i="4"/>
  <c r="B10" i="1"/>
  <c r="B18" i="1" s="1"/>
  <c r="C10" i="1"/>
  <c r="C18" i="1" s="1"/>
  <c r="D10" i="1"/>
  <c r="D18" i="1" s="1"/>
  <c r="E10" i="1"/>
  <c r="E18" i="1" s="1"/>
  <c r="F10" i="1" l="1"/>
  <c r="F18" i="1" s="1"/>
  <c r="B37" i="4"/>
  <c r="F27" i="4"/>
  <c r="F37" i="4" s="1"/>
  <c r="E37" i="4"/>
  <c r="E47" i="3"/>
  <c r="E39" i="3"/>
  <c r="F39" i="3" s="1"/>
  <c r="E29" i="3"/>
  <c r="F29" i="3" s="1"/>
  <c r="E28" i="3"/>
  <c r="F28" i="3" s="1"/>
  <c r="E27" i="3"/>
  <c r="E65" i="3" s="1"/>
  <c r="E19" i="3"/>
  <c r="F19" i="3" s="1"/>
  <c r="E16" i="3"/>
  <c r="F16" i="3" s="1"/>
  <c r="E13" i="3"/>
  <c r="F13" i="3" s="1"/>
  <c r="E10" i="3"/>
  <c r="F10" i="3" s="1"/>
  <c r="E9" i="3"/>
  <c r="F9" i="3" s="1"/>
  <c r="D47" i="3"/>
  <c r="D48" i="3" s="1"/>
  <c r="C36" i="3"/>
  <c r="B47" i="3"/>
  <c r="O24" i="3"/>
  <c r="J48" i="3"/>
  <c r="J36" i="3"/>
  <c r="L36" i="3"/>
  <c r="M48" i="3"/>
  <c r="M36" i="3"/>
  <c r="N48" i="3"/>
  <c r="N36" i="3"/>
  <c r="O48" i="3"/>
  <c r="O36" i="3"/>
  <c r="D36" i="3"/>
  <c r="G48" i="3"/>
  <c r="G36" i="3"/>
  <c r="H48" i="3"/>
  <c r="H36" i="3"/>
  <c r="I48" i="3"/>
  <c r="I36" i="3"/>
  <c r="B41" i="2"/>
  <c r="B34" i="2"/>
  <c r="B20" i="2"/>
  <c r="C41" i="2"/>
  <c r="C34" i="2"/>
  <c r="C20" i="2"/>
  <c r="D41" i="2"/>
  <c r="D34" i="2"/>
  <c r="D20" i="2"/>
  <c r="E41" i="2"/>
  <c r="E34" i="2"/>
  <c r="E20" i="2"/>
  <c r="F41" i="2"/>
  <c r="F34" i="2"/>
  <c r="F20" i="2"/>
  <c r="G41" i="2"/>
  <c r="G34" i="2"/>
  <c r="G20" i="2"/>
  <c r="H41" i="2"/>
  <c r="H34" i="2"/>
  <c r="H20" i="2"/>
  <c r="I41" i="2"/>
  <c r="I34" i="2"/>
  <c r="I20" i="2"/>
  <c r="J41" i="2"/>
  <c r="J34" i="2"/>
  <c r="J20" i="2"/>
  <c r="K41" i="2"/>
  <c r="K34" i="2"/>
  <c r="K20" i="2"/>
  <c r="O64" i="3" l="1"/>
  <c r="O68" i="3" s="1"/>
  <c r="B36" i="3"/>
  <c r="F35" i="3"/>
  <c r="B48" i="3"/>
  <c r="F27" i="3"/>
  <c r="F65" i="3" s="1"/>
  <c r="F67" i="3"/>
  <c r="E67" i="3"/>
  <c r="C47" i="3"/>
  <c r="C48" i="3" s="1"/>
  <c r="F66" i="3"/>
  <c r="E66" i="3"/>
  <c r="E48" i="3"/>
  <c r="E36" i="3"/>
  <c r="O49" i="3"/>
  <c r="F42" i="2"/>
  <c r="E42" i="2"/>
  <c r="I42" i="2"/>
  <c r="C42" i="2"/>
  <c r="B42" i="2"/>
  <c r="G42" i="2"/>
  <c r="J42" i="2"/>
  <c r="D42" i="2"/>
  <c r="H42" i="2"/>
  <c r="K42" i="2"/>
  <c r="F47" i="3" l="1"/>
  <c r="F48" i="3" s="1"/>
  <c r="F36" i="3"/>
  <c r="B55" i="1" l="1"/>
  <c r="C55" i="1"/>
  <c r="F65" i="1" s="1"/>
  <c r="D55" i="1"/>
  <c r="E55" i="1"/>
  <c r="G55" i="1"/>
  <c r="H55" i="1"/>
  <c r="I55" i="1"/>
  <c r="J55" i="1"/>
  <c r="L55" i="1"/>
  <c r="M55" i="1"/>
  <c r="N55" i="1"/>
  <c r="O55" i="1"/>
  <c r="J53" i="1"/>
  <c r="J69" i="1" s="1"/>
  <c r="I53" i="1"/>
  <c r="I69" i="1" s="1"/>
  <c r="H53" i="1"/>
  <c r="G53" i="1"/>
  <c r="B53" i="1"/>
  <c r="C53" i="1"/>
  <c r="D53" i="1"/>
  <c r="E53" i="1"/>
  <c r="L53" i="1"/>
  <c r="L69" i="1" s="1"/>
  <c r="M53" i="1"/>
  <c r="M69" i="1" s="1"/>
  <c r="N53" i="1"/>
  <c r="N69" i="1" s="1"/>
  <c r="O53" i="1"/>
  <c r="G54" i="1"/>
  <c r="K54" i="1" s="1"/>
  <c r="E49" i="1"/>
  <c r="F49" i="1" s="1"/>
  <c r="G49" i="1"/>
  <c r="H49" i="1"/>
  <c r="I49" i="1"/>
  <c r="J49" i="1"/>
  <c r="L49" i="1"/>
  <c r="M49" i="1"/>
  <c r="N49" i="1"/>
  <c r="O49" i="1"/>
  <c r="B42" i="1"/>
  <c r="C42" i="1"/>
  <c r="D42" i="1"/>
  <c r="E42" i="1"/>
  <c r="G42" i="1"/>
  <c r="H42" i="1"/>
  <c r="I42" i="1"/>
  <c r="J42" i="1"/>
  <c r="L42" i="1"/>
  <c r="M42" i="1"/>
  <c r="N42" i="1"/>
  <c r="O42" i="1"/>
  <c r="O41" i="1"/>
  <c r="N41" i="1"/>
  <c r="M41" i="1"/>
  <c r="L41" i="1"/>
  <c r="J41" i="1"/>
  <c r="I41" i="1"/>
  <c r="H41" i="1"/>
  <c r="G41" i="1"/>
  <c r="E41" i="1"/>
  <c r="D41" i="1"/>
  <c r="C41" i="1"/>
  <c r="B41" i="1"/>
  <c r="F41" i="1" l="1"/>
  <c r="K41" i="1"/>
  <c r="P42" i="1"/>
  <c r="P49" i="1"/>
  <c r="F53" i="1"/>
  <c r="P55" i="1"/>
  <c r="K55" i="1"/>
  <c r="F55" i="1"/>
  <c r="K53" i="1"/>
  <c r="P41" i="1"/>
  <c r="K42" i="1"/>
  <c r="F42" i="1"/>
  <c r="K49" i="1"/>
  <c r="K69" i="1"/>
  <c r="O69" i="1"/>
  <c r="P69" i="1" s="1"/>
  <c r="P53" i="1"/>
  <c r="L41" i="2"/>
  <c r="L34" i="2"/>
  <c r="L20" i="2"/>
  <c r="L42" i="2" l="1"/>
  <c r="C19" i="1" l="1"/>
  <c r="C25" i="1" s="1"/>
  <c r="D19" i="1"/>
  <c r="D25" i="1" s="1"/>
  <c r="E19" i="1"/>
  <c r="E25" i="1" s="1"/>
  <c r="F19" i="1"/>
  <c r="F25" i="1" s="1"/>
  <c r="G19" i="1"/>
  <c r="G25" i="1" s="1"/>
  <c r="H19" i="1"/>
  <c r="H25" i="1" s="1"/>
  <c r="I19" i="1"/>
  <c r="I25" i="1" s="1"/>
  <c r="J19" i="1"/>
  <c r="J25" i="1" s="1"/>
  <c r="L19" i="1"/>
  <c r="L25" i="1" s="1"/>
  <c r="M19" i="1"/>
  <c r="M25" i="1" s="1"/>
  <c r="N19" i="1"/>
  <c r="N25" i="1" s="1"/>
  <c r="O19" i="1"/>
  <c r="O25" i="1" s="1"/>
  <c r="M41" i="2"/>
  <c r="M34" i="2"/>
  <c r="M20" i="2"/>
  <c r="M27" i="1" l="1"/>
  <c r="G27" i="1"/>
  <c r="J27" i="1"/>
  <c r="C27" i="1"/>
  <c r="N27" i="1"/>
  <c r="L27" i="1"/>
  <c r="I27" i="1"/>
  <c r="H27" i="1"/>
  <c r="D27" i="1"/>
  <c r="O27" i="1"/>
  <c r="B19" i="1"/>
  <c r="B25" i="1" s="1"/>
  <c r="E27" i="1"/>
  <c r="E60" i="1" s="1"/>
  <c r="F27" i="1"/>
  <c r="M42" i="2"/>
  <c r="H40" i="1" l="1"/>
  <c r="H58" i="1" s="1"/>
  <c r="H7" i="3"/>
  <c r="H24" i="3" s="1"/>
  <c r="H64" i="3" s="1"/>
  <c r="H68" i="3" s="1"/>
  <c r="H60" i="1"/>
  <c r="H73" i="1" s="1"/>
  <c r="O40" i="1"/>
  <c r="O58" i="1" s="1"/>
  <c r="O60" i="1"/>
  <c r="O73" i="1" s="1"/>
  <c r="C60" i="1"/>
  <c r="C73" i="1" s="1"/>
  <c r="C40" i="1"/>
  <c r="C58" i="1" s="1"/>
  <c r="C7" i="3"/>
  <c r="C24" i="3" s="1"/>
  <c r="D60" i="1"/>
  <c r="D73" i="1" s="1"/>
  <c r="D7" i="3"/>
  <c r="D24" i="3" s="1"/>
  <c r="D40" i="1"/>
  <c r="D58" i="1" s="1"/>
  <c r="I60" i="1"/>
  <c r="I73" i="1" s="1"/>
  <c r="I7" i="3"/>
  <c r="I24" i="3" s="1"/>
  <c r="I49" i="3" s="1"/>
  <c r="I40" i="1"/>
  <c r="I58" i="1" s="1"/>
  <c r="L40" i="1"/>
  <c r="L58" i="1" s="1"/>
  <c r="L60" i="1"/>
  <c r="L73" i="1" s="1"/>
  <c r="L7" i="3"/>
  <c r="N60" i="1"/>
  <c r="N73" i="1" s="1"/>
  <c r="N7" i="3"/>
  <c r="N40" i="1"/>
  <c r="N58" i="1" s="1"/>
  <c r="J60" i="1"/>
  <c r="J40" i="1"/>
  <c r="J58" i="1" s="1"/>
  <c r="J7" i="3"/>
  <c r="J24" i="3" s="1"/>
  <c r="G60" i="1"/>
  <c r="G73" i="1" s="1"/>
  <c r="G7" i="3"/>
  <c r="G40" i="1"/>
  <c r="G58" i="1" s="1"/>
  <c r="M40" i="1"/>
  <c r="M58" i="1" s="1"/>
  <c r="M60" i="1"/>
  <c r="M73" i="1" s="1"/>
  <c r="M7" i="3"/>
  <c r="M24" i="3" s="1"/>
  <c r="B27" i="1"/>
  <c r="G24" i="3"/>
  <c r="L24" i="3"/>
  <c r="E73" i="1"/>
  <c r="E40" i="1"/>
  <c r="E58" i="1" s="1"/>
  <c r="E7" i="3"/>
  <c r="E24" i="3" s="1"/>
  <c r="I64" i="3" l="1"/>
  <c r="I68" i="3" s="1"/>
  <c r="P7" i="3"/>
  <c r="P24" i="3" s="1"/>
  <c r="P49" i="3" s="1"/>
  <c r="C64" i="3"/>
  <c r="C68" i="3" s="1"/>
  <c r="G64" i="3"/>
  <c r="G68" i="3" s="1"/>
  <c r="H49" i="3"/>
  <c r="D64" i="3"/>
  <c r="D68" i="3" s="1"/>
  <c r="L64" i="3"/>
  <c r="L68" i="3" s="1"/>
  <c r="M64" i="3"/>
  <c r="M68" i="3" s="1"/>
  <c r="C49" i="3"/>
  <c r="M49" i="3"/>
  <c r="K40" i="1"/>
  <c r="K58" i="1" s="1"/>
  <c r="N24" i="3"/>
  <c r="N64" i="3" s="1"/>
  <c r="N68" i="3" s="1"/>
  <c r="B60" i="1"/>
  <c r="B73" i="1" s="1"/>
  <c r="B40" i="1"/>
  <c r="B58" i="1" s="1"/>
  <c r="B7" i="3"/>
  <c r="B24" i="3" s="1"/>
  <c r="K60" i="1"/>
  <c r="K73" i="1" s="1"/>
  <c r="K7" i="3"/>
  <c r="K24" i="3" s="1"/>
  <c r="D49" i="3"/>
  <c r="P40" i="1"/>
  <c r="P58" i="1" s="1"/>
  <c r="J73" i="1"/>
  <c r="P60" i="1"/>
  <c r="P73" i="1" s="1"/>
  <c r="L49" i="3"/>
  <c r="G49" i="3"/>
  <c r="J64" i="3"/>
  <c r="J68" i="3" s="1"/>
  <c r="J49" i="3"/>
  <c r="B61" i="3"/>
  <c r="P64" i="3" l="1"/>
  <c r="P68" i="3" s="1"/>
  <c r="N49" i="3"/>
  <c r="E64" i="3"/>
  <c r="E68" i="3" s="1"/>
  <c r="K49" i="3"/>
  <c r="B64" i="3"/>
  <c r="B68" i="3" s="1"/>
  <c r="K64" i="3"/>
  <c r="K68" i="3" s="1"/>
  <c r="F7" i="3"/>
  <c r="F24" i="3" s="1"/>
  <c r="B49" i="3"/>
  <c r="B51" i="3" s="1"/>
  <c r="C50" i="3" s="1"/>
  <c r="C51" i="3" s="1"/>
  <c r="D50" i="3" s="1"/>
  <c r="D51" i="3" s="1"/>
  <c r="D61" i="3" s="1"/>
  <c r="F40" i="1"/>
  <c r="F58" i="1" s="1"/>
  <c r="F60" i="1"/>
  <c r="F73" i="1" s="1"/>
  <c r="F61" i="3"/>
  <c r="C61" i="3"/>
  <c r="E49" i="3"/>
  <c r="F49" i="3" l="1"/>
  <c r="F51" i="3" s="1"/>
  <c r="G50" i="3" s="1"/>
  <c r="K50" i="3" s="1"/>
  <c r="K51" i="3" s="1"/>
  <c r="F64" i="3"/>
  <c r="F68" i="3" s="1"/>
  <c r="E50" i="3"/>
  <c r="E51" i="3" s="1"/>
  <c r="E61" i="3" s="1"/>
  <c r="G51" i="3" l="1"/>
  <c r="H50" i="3" s="1"/>
  <c r="H51" i="3" s="1"/>
  <c r="K61" i="3"/>
  <c r="L50" i="3"/>
  <c r="P50" i="3" s="1"/>
  <c r="G61" i="3"/>
  <c r="P51" i="3" l="1"/>
  <c r="Q50" i="3" s="1"/>
  <c r="U50" i="3" s="1"/>
  <c r="U51" i="3" s="1"/>
  <c r="V50" i="3" s="1"/>
  <c r="L51" i="3"/>
  <c r="I50" i="3"/>
  <c r="I51" i="3" s="1"/>
  <c r="H61" i="3"/>
  <c r="V51" i="3" l="1"/>
  <c r="W50" i="3" s="1"/>
  <c r="W51" i="3" s="1"/>
  <c r="X50" i="3" s="1"/>
  <c r="X51" i="3" s="1"/>
  <c r="Y50" i="3" s="1"/>
  <c r="Y51" i="3" s="1"/>
  <c r="Z50" i="3"/>
  <c r="Z51" i="3" s="1"/>
  <c r="AA50" i="3" s="1"/>
  <c r="P61" i="3"/>
  <c r="Q51" i="3"/>
  <c r="R50" i="3" s="1"/>
  <c r="R51" i="3" s="1"/>
  <c r="S50" i="3" s="1"/>
  <c r="S51" i="3" s="1"/>
  <c r="T50" i="3" s="1"/>
  <c r="T51" i="3" s="1"/>
  <c r="L61" i="3"/>
  <c r="M50" i="3"/>
  <c r="M51" i="3" s="1"/>
  <c r="J50" i="3"/>
  <c r="J51" i="3" s="1"/>
  <c r="J61" i="3" s="1"/>
  <c r="I61" i="3"/>
  <c r="AA51" i="3" l="1"/>
  <c r="AB50" i="3" s="1"/>
  <c r="AB51" i="3" s="1"/>
  <c r="AC50" i="3" s="1"/>
  <c r="AC51" i="3" s="1"/>
  <c r="AF50" i="3"/>
  <c r="AJ50" i="3" s="1"/>
  <c r="AJ51" i="3" s="1"/>
  <c r="M61" i="3"/>
  <c r="N50" i="3"/>
  <c r="N51" i="3" s="1"/>
  <c r="AD50" i="3" l="1"/>
  <c r="AD51" i="3" s="1"/>
  <c r="AF51" i="3"/>
  <c r="AG50" i="3" s="1"/>
  <c r="AG51" i="3" s="1"/>
  <c r="N61" i="3"/>
  <c r="O50" i="3"/>
  <c r="O51" i="3" s="1"/>
  <c r="AH50" i="3" l="1"/>
  <c r="AH51" i="3" s="1"/>
  <c r="AI50" i="3" s="1"/>
  <c r="AI51" i="3" s="1"/>
  <c r="AJ7" i="1" l="1"/>
  <c r="AJ19" i="1" s="1"/>
  <c r="AJ25" i="1" l="1"/>
  <c r="AJ27" i="1" s="1"/>
  <c r="AJ31" i="1" l="1"/>
  <c r="AJ30" i="1"/>
  <c r="AJ40" i="1"/>
  <c r="AJ58" i="1" s="1"/>
  <c r="AJ60" i="1"/>
  <c r="AJ73" i="1"/>
  <c r="AJ89" i="1" s="1"/>
  <c r="AJ75" i="1"/>
</calcChain>
</file>

<file path=xl/sharedStrings.xml><?xml version="1.0" encoding="utf-8"?>
<sst xmlns="http://schemas.openxmlformats.org/spreadsheetml/2006/main" count="344" uniqueCount="212">
  <si>
    <t>Revenues</t>
  </si>
  <si>
    <t>Costs and expenses:</t>
  </si>
  <si>
    <t>Cost of goods sold</t>
  </si>
  <si>
    <t>Selling, general and administrative expenses</t>
  </si>
  <si>
    <t>Deltic merger-related costs</t>
  </si>
  <si>
    <t>Loss on sale of central Idaho timber and timberlands</t>
  </si>
  <si>
    <t>Interest expense, net</t>
  </si>
  <si>
    <t>Non-operating pension and other postretirement employee benefit costs</t>
  </si>
  <si>
    <t>Net income</t>
  </si>
  <si>
    <t>Basic</t>
  </si>
  <si>
    <t>Diluted</t>
  </si>
  <si>
    <t>Weighted-average shares outstanding (in thousands)</t>
  </si>
  <si>
    <t xml:space="preserve"> </t>
  </si>
  <si>
    <t>ASSETS</t>
  </si>
  <si>
    <t>Current assets:</t>
  </si>
  <si>
    <t>Cash and cash equivalents</t>
  </si>
  <si>
    <t>Other current assets</t>
  </si>
  <si>
    <t>Total current assets</t>
  </si>
  <si>
    <t>Property, plant and equipment, net</t>
  </si>
  <si>
    <t>Investment in real estate held for development and sale</t>
  </si>
  <si>
    <t>Timber and timberlands, net</t>
  </si>
  <si>
    <t>Deferred tax assets, net</t>
  </si>
  <si>
    <t>Other long-term assets</t>
  </si>
  <si>
    <t>Total assets</t>
  </si>
  <si>
    <t>LIABILITIES AND STOCKHOLDERS’ EQUITY</t>
  </si>
  <si>
    <t>Current liabilities:</t>
  </si>
  <si>
    <t>Accounts payable and accrued liabilities</t>
  </si>
  <si>
    <t>Current portion of long-term debt</t>
  </si>
  <si>
    <t>Current portion of pension and other postretirement employee benefits</t>
  </si>
  <si>
    <t>Total current liabilities</t>
  </si>
  <si>
    <t>Long-term debt</t>
  </si>
  <si>
    <t>Pension and other postretirement employee benefits</t>
  </si>
  <si>
    <t>Other long-term obligations</t>
  </si>
  <si>
    <t>Total liabilities</t>
  </si>
  <si>
    <t>Commitments and contingencies</t>
  </si>
  <si>
    <t>Stockholders’ equity:</t>
  </si>
  <si>
    <t>Additional paid-in capital</t>
  </si>
  <si>
    <t>Total stockholders’ equity</t>
  </si>
  <si>
    <t>Total liabilities and stockholders' equity</t>
  </si>
  <si>
    <t>CASH FLOWS FROM OPERATING ACTIVITIES</t>
  </si>
  <si>
    <t>Depreciation, depletion and amortization</t>
  </si>
  <si>
    <t>Basis of real estate sold</t>
  </si>
  <si>
    <t>Change in deferred taxes</t>
  </si>
  <si>
    <t>Equity-based compensation expense</t>
  </si>
  <si>
    <t>Other, net</t>
  </si>
  <si>
    <t>Net cash from operating activities</t>
  </si>
  <si>
    <t>CASH FLOWS FROM INVESTING ACTIVITIES</t>
  </si>
  <si>
    <t>Timberlands reforestation and roads</t>
  </si>
  <si>
    <t>Acquisition of timber and timberlands</t>
  </si>
  <si>
    <t>Net proceeds from sale of central Idaho timber and timberlands</t>
  </si>
  <si>
    <t>CASH FLOWS FROM FINANCING ACTIVITIES</t>
  </si>
  <si>
    <t>Repurchase of common stock</t>
  </si>
  <si>
    <t>Repayment of long-term debt</t>
  </si>
  <si>
    <t>Proceeds from issuance of long-term debt</t>
  </si>
  <si>
    <t>Change in cash, cash equivalents and restricted cash</t>
  </si>
  <si>
    <t>Cash, cash equivalents and restricted cash at beginning of period</t>
  </si>
  <si>
    <t>SUPPLEMENTAL CASH FLOW INFORMATION</t>
  </si>
  <si>
    <t>Cash paid (received) during the year for:</t>
  </si>
  <si>
    <t>Interest, net of amounts capitalized</t>
  </si>
  <si>
    <t>Income taxes, net</t>
  </si>
  <si>
    <t xml:space="preserve">Total cash, cash equivalents, and restricted cash </t>
  </si>
  <si>
    <t>Q1 2016</t>
  </si>
  <si>
    <t>Q2 2016</t>
  </si>
  <si>
    <t>Q3 2016</t>
  </si>
  <si>
    <t>Q4 2016</t>
  </si>
  <si>
    <t>Q4 2018</t>
  </si>
  <si>
    <t>Q3 2018</t>
  </si>
  <si>
    <t>Q2 2018</t>
  </si>
  <si>
    <t>Q1 2018</t>
  </si>
  <si>
    <t>Q4 2017</t>
  </si>
  <si>
    <t>Q3 2017</t>
  </si>
  <si>
    <t>Q2 2017</t>
  </si>
  <si>
    <t>Q1 2017</t>
  </si>
  <si>
    <t>PotlatchDeltic Corporation</t>
  </si>
  <si>
    <t>Revenues:</t>
  </si>
  <si>
    <t>Wood Products</t>
  </si>
  <si>
    <t>Real Estate</t>
  </si>
  <si>
    <t>Total consolidated revenues</t>
  </si>
  <si>
    <t>Adjusted EBITDDA:</t>
  </si>
  <si>
    <t>Corporate</t>
  </si>
  <si>
    <t>Eliminations and adjustments</t>
  </si>
  <si>
    <t>Total Adjusted EBITDDA</t>
  </si>
  <si>
    <t>Non-operating pension and other postretirement employee benefits</t>
  </si>
  <si>
    <t>Depreciation, depletion and amortization:</t>
  </si>
  <si>
    <t>Bond discount and deferred loan fees</t>
  </si>
  <si>
    <t>Total depreciation, depletion and amortization</t>
  </si>
  <si>
    <t>Basis of real estate sold:</t>
  </si>
  <si>
    <t>Elimination and adjustments</t>
  </si>
  <si>
    <t>Total basis of real estate sold</t>
  </si>
  <si>
    <t xml:space="preserve">   </t>
  </si>
  <si>
    <t>Non-operating pension and other postretirement benefit costs</t>
  </si>
  <si>
    <t>Lumber price swap</t>
  </si>
  <si>
    <t>Inventory purchase price adjustment in cost of goods sold</t>
  </si>
  <si>
    <t>Common stock, $1 par value</t>
  </si>
  <si>
    <t>Consolidated Balance Sheets</t>
  </si>
  <si>
    <t>Deferred tax liabilities, net</t>
  </si>
  <si>
    <t>Change in working capital, net</t>
  </si>
  <si>
    <t>Real estate development expenditures</t>
  </si>
  <si>
    <t xml:space="preserve">  </t>
  </si>
  <si>
    <t>Proceeds from Potlatch revolving line of credit</t>
  </si>
  <si>
    <t>Repayment of Potlatch revolving line of credit</t>
  </si>
  <si>
    <t>Cash and cash equivalents acquired in Deltic merger</t>
  </si>
  <si>
    <t>CASH AVAILABLE FOR DISTRIBUTION (CAD)</t>
  </si>
  <si>
    <t>RECONCILIATION OF CASH, CASH EQUIVALENTS, AND RESTRICTED CASH</t>
  </si>
  <si>
    <t>Segment Information</t>
  </si>
  <si>
    <t>Gain (loss) on lumber price swap</t>
  </si>
  <si>
    <t>Adjusted net income</t>
  </si>
  <si>
    <t>Trended Financial Information</t>
  </si>
  <si>
    <t>Impact of tax legislation</t>
  </si>
  <si>
    <t>Inventory purchase price adjustment in cost of goods sold, after tax</t>
  </si>
  <si>
    <t>Lumber price swap, after tax</t>
  </si>
  <si>
    <t>Liabilities held for sale</t>
  </si>
  <si>
    <t>Assets held for sale</t>
  </si>
  <si>
    <t>Income tax benefit on sale of central Idaho timber and timberlands</t>
  </si>
  <si>
    <t>Accounting Standards Updates</t>
  </si>
  <si>
    <t>Non-GAAP Measures</t>
  </si>
  <si>
    <t>Distributions to common stockholders</t>
  </si>
  <si>
    <r>
      <t>Special distribution per share</t>
    </r>
    <r>
      <rPr>
        <vertAlign val="superscript"/>
        <sz val="10"/>
        <color rgb="FF595959"/>
        <rFont val="Arial"/>
        <family val="2"/>
      </rPr>
      <t>1</t>
    </r>
  </si>
  <si>
    <r>
      <t>Accumulated deficit</t>
    </r>
    <r>
      <rPr>
        <vertAlign val="superscript"/>
        <sz val="10"/>
        <color rgb="FF595959"/>
        <rFont val="Arial"/>
        <family val="2"/>
      </rPr>
      <t>1</t>
    </r>
  </si>
  <si>
    <t xml:space="preserve">This file contains certain non-GAAP financial measures, which management believes are useful to investors, securities analysts and other interested parties. These non-GAAP measures should be considered only as supplemental to, and not superior to, financial measures prepared in accordance with GAAP.  Reconciliations to GAAP are included herein. </t>
  </si>
  <si>
    <t>Condensed Consolidated Statements of Cash Flows</t>
  </si>
  <si>
    <r>
      <t>Total Adjusted EBITDDA</t>
    </r>
    <r>
      <rPr>
        <vertAlign val="superscript"/>
        <sz val="10"/>
        <color rgb="FF595959"/>
        <rFont val="Arial"/>
        <family val="2"/>
      </rPr>
      <t>1</t>
    </r>
  </si>
  <si>
    <t>https://investors.potlatchdeltic.com/home/default.aspx</t>
  </si>
  <si>
    <t>Operating income (loss)</t>
  </si>
  <si>
    <t>Income (loss) before income taxes</t>
  </si>
  <si>
    <t>Net income (loss)</t>
  </si>
  <si>
    <t>Customer receivables, net</t>
  </si>
  <si>
    <t>Intangible assets, net</t>
  </si>
  <si>
    <t>Adjustments to reconcile net income (loss) to net cash from operating activities:</t>
  </si>
  <si>
    <r>
      <rPr>
        <vertAlign val="superscript"/>
        <sz val="9"/>
        <color rgb="FF595959"/>
        <rFont val="Arial"/>
        <family val="2"/>
      </rPr>
      <t>1</t>
    </r>
    <r>
      <rPr>
        <sz val="9"/>
        <color rgb="FF595959"/>
        <rFont val="Arial"/>
        <family val="2"/>
      </rPr>
      <t>Total Adjusted EBITDDA is a non-GAAP measure. See the Consolidated Statements of Income for a reconciliation.</t>
    </r>
  </si>
  <si>
    <t>(Unaudited)</t>
  </si>
  <si>
    <t>(In thousands, except per share amounts)</t>
  </si>
  <si>
    <t>(In thousands)</t>
  </si>
  <si>
    <t>(Gain) loss on lumber price swap</t>
  </si>
  <si>
    <t>Loss on sale of central Idaho timber and timberlands, after tax</t>
  </si>
  <si>
    <t>Repayment of Deltic revolving line of credit</t>
  </si>
  <si>
    <t>Inventories, net</t>
  </si>
  <si>
    <t>This file contains select current and historical GAAP and non-GAAP financial content downloaded from our Investor Relations portal:</t>
  </si>
  <si>
    <t>Q1 2019</t>
  </si>
  <si>
    <t>Gain on sale of facility</t>
  </si>
  <si>
    <t>Loss on extinguishment of debt</t>
  </si>
  <si>
    <t>Loss on debt extinguishment</t>
  </si>
  <si>
    <t>Proceeds on sale of facility</t>
  </si>
  <si>
    <t>Premiums and fees on debt retirement</t>
  </si>
  <si>
    <r>
      <t xml:space="preserve">We adopted ASU No. 2016-02, </t>
    </r>
    <r>
      <rPr>
        <i/>
        <sz val="10"/>
        <color rgb="FF595959"/>
        <rFont val="Arial"/>
        <family val="2"/>
      </rPr>
      <t>Leases (Topic 842)</t>
    </r>
    <r>
      <rPr>
        <sz val="10"/>
        <color rgb="FF595959"/>
        <rFont val="Arial"/>
        <family val="2"/>
      </rPr>
      <t xml:space="preserve">, along with subsequent amendments, on January 1, 2019, and used the effective date as our date of initial application.  Upon adoption of this ASU, we recorded $14.0 million for right-of-use assets and lease liabilities for our operating leases on our Consolidated Balance Sheet.  The adoption of this ASU did not impact our Consolidated Statement of Income nor our Consolidated Statement of Cash Flows. </t>
    </r>
  </si>
  <si>
    <t>Funding of pension and other postretirement benefits</t>
  </si>
  <si>
    <t>Restricted cash included in other long-term and short-term assets</t>
  </si>
  <si>
    <t>Cash, cash equivalents and restricted cash at end of period</t>
  </si>
  <si>
    <t>Adjusted net income per diluted share</t>
  </si>
  <si>
    <t>Property, plant and equipment additions</t>
  </si>
  <si>
    <t>Q2 2019</t>
  </si>
  <si>
    <t>Timberlands</t>
  </si>
  <si>
    <t>Intersegment Timberland revenues</t>
  </si>
  <si>
    <t>Q3 2019</t>
  </si>
  <si>
    <t>Q4 2019</t>
  </si>
  <si>
    <t>Q1 2020</t>
  </si>
  <si>
    <t>Pension settlement charge</t>
  </si>
  <si>
    <t>Consolidated Statements of Operations</t>
  </si>
  <si>
    <t>Q2 2020</t>
  </si>
  <si>
    <t>Q3 2020</t>
  </si>
  <si>
    <r>
      <t>Distribution payable</t>
    </r>
    <r>
      <rPr>
        <vertAlign val="superscript"/>
        <sz val="10"/>
        <color rgb="FF595959"/>
        <rFont val="Arial"/>
        <family val="2"/>
      </rPr>
      <t>1</t>
    </r>
  </si>
  <si>
    <r>
      <t>CAD</t>
    </r>
    <r>
      <rPr>
        <vertAlign val="superscript"/>
        <sz val="10"/>
        <color rgb="FF595959"/>
        <rFont val="Arial"/>
        <family val="2"/>
      </rPr>
      <t>1</t>
    </r>
  </si>
  <si>
    <t>Q4 2020</t>
  </si>
  <si>
    <t>Income taxes</t>
  </si>
  <si>
    <t>Net income (loss) per share:</t>
  </si>
  <si>
    <t>Net income (loss) per diluted share</t>
  </si>
  <si>
    <r>
      <rPr>
        <vertAlign val="superscript"/>
        <sz val="9"/>
        <color rgb="FF595959"/>
        <rFont val="Arial"/>
        <family val="2"/>
      </rPr>
      <t>2</t>
    </r>
    <r>
      <rPr>
        <sz val="9"/>
        <color rgb="FF595959"/>
        <rFont val="Arial"/>
        <family val="2"/>
      </rPr>
      <t xml:space="preserve">Total Adjusted EBITDDA and Adjusted net income are non-GAAP measures. </t>
    </r>
  </si>
  <si>
    <r>
      <t>Reconciliations</t>
    </r>
    <r>
      <rPr>
        <vertAlign val="superscript"/>
        <sz val="10"/>
        <color rgb="FF595959"/>
        <rFont val="Arial"/>
        <family val="2"/>
      </rPr>
      <t>2</t>
    </r>
    <r>
      <rPr>
        <sz val="10"/>
        <color rgb="FF595959"/>
        <rFont val="Arial"/>
        <family val="2"/>
      </rPr>
      <t>:</t>
    </r>
  </si>
  <si>
    <r>
      <t>Tax adjustments</t>
    </r>
    <r>
      <rPr>
        <vertAlign val="superscript"/>
        <sz val="10"/>
        <color rgb="FF595959"/>
        <rFont val="Arial"/>
        <family val="2"/>
      </rPr>
      <t>3</t>
    </r>
  </si>
  <si>
    <r>
      <rPr>
        <vertAlign val="superscript"/>
        <sz val="9"/>
        <color rgb="FF595959"/>
        <rFont val="Arial"/>
        <family val="2"/>
      </rPr>
      <t>3</t>
    </r>
    <r>
      <rPr>
        <sz val="9"/>
        <color rgb="FF595959"/>
        <rFont val="Arial"/>
        <family val="2"/>
      </rPr>
      <t xml:space="preserve">During the third quarter of 2018, we recorded a tax benefit primarily related to deducting contributions to our qualified pension plans at the higher 2017 income tax rate. </t>
    </r>
  </si>
  <si>
    <r>
      <rPr>
        <vertAlign val="superscript"/>
        <sz val="9"/>
        <color rgb="FF595959"/>
        <rFont val="Arial"/>
        <family val="2"/>
      </rPr>
      <t>4</t>
    </r>
    <r>
      <rPr>
        <sz val="9"/>
        <color rgb="FF595959"/>
        <rFont val="Arial"/>
        <family val="2"/>
      </rPr>
      <t xml:space="preserve">During the first quarter of 2019, we sold our Deltic MDF Facility for $92.0 million, resulting in a $9.2 million pre-tax gain. </t>
    </r>
  </si>
  <si>
    <r>
      <t>Gain on sale of facility, after tax</t>
    </r>
    <r>
      <rPr>
        <vertAlign val="superscript"/>
        <sz val="10"/>
        <color rgb="FF595959"/>
        <rFont val="Arial"/>
        <family val="2"/>
      </rPr>
      <t>4</t>
    </r>
  </si>
  <si>
    <r>
      <t>Gain on sale of facility</t>
    </r>
    <r>
      <rPr>
        <vertAlign val="superscript"/>
        <sz val="10"/>
        <color rgb="FF595959"/>
        <rFont val="Arial"/>
        <family val="2"/>
      </rPr>
      <t>4</t>
    </r>
  </si>
  <si>
    <r>
      <rPr>
        <vertAlign val="superscript"/>
        <sz val="9"/>
        <color rgb="FF595959"/>
        <rFont val="Arial"/>
        <family val="2"/>
      </rPr>
      <t>5</t>
    </r>
    <r>
      <rPr>
        <sz val="9"/>
        <color rgb="FF595959"/>
        <rFont val="Arial"/>
        <family val="2"/>
      </rPr>
      <t xml:space="preserve">During the first quarter of 2019, we redeemed our $150.0 million Senior Notes. Upon redemption, we incurred a premium of $4.9 million and expensed certain unamortized debt costs.  The debt was refinanced with a $150.0 million term loan maturing 2029.  </t>
    </r>
  </si>
  <si>
    <r>
      <t>Loss on extinguishment of debt</t>
    </r>
    <r>
      <rPr>
        <vertAlign val="superscript"/>
        <sz val="10"/>
        <color rgb="FF595959"/>
        <rFont val="Arial"/>
        <family val="2"/>
      </rPr>
      <t>5</t>
    </r>
  </si>
  <si>
    <r>
      <rPr>
        <vertAlign val="superscript"/>
        <sz val="10"/>
        <color rgb="FF595959"/>
        <rFont val="Arial"/>
        <family val="2"/>
      </rPr>
      <t>6</t>
    </r>
    <r>
      <rPr>
        <sz val="10"/>
        <color rgb="FF595959"/>
        <rFont val="Arial"/>
        <family val="2"/>
      </rPr>
      <t>During the first quarter of 2020, we recorded a $43.0 million settlement charge related to the transfer of $101.1 million of our outstanding pension benefit obligation related to our qualified pension plans to an insurance company.</t>
    </r>
  </si>
  <si>
    <t>Q1 2021</t>
  </si>
  <si>
    <t>Loss (gain) on fixed assets</t>
  </si>
  <si>
    <t>(Loss) gain on fixed assets</t>
  </si>
  <si>
    <t>Q2 2021</t>
  </si>
  <si>
    <t>Q3 2021</t>
  </si>
  <si>
    <r>
      <rPr>
        <vertAlign val="superscript"/>
        <sz val="10"/>
        <color rgb="FF595959"/>
        <rFont val="Arial"/>
        <family val="2"/>
      </rPr>
      <t>7</t>
    </r>
    <r>
      <rPr>
        <sz val="10"/>
        <color rgb="FF595959"/>
        <rFont val="Arial"/>
        <family val="2"/>
      </rPr>
      <t>Insurance recoveries net of Ola, Arkansas sawmill asset write-offs and disposal costs.</t>
    </r>
  </si>
  <si>
    <t>Q4 2021</t>
  </si>
  <si>
    <r>
      <t>Dividends per share</t>
    </r>
    <r>
      <rPr>
        <vertAlign val="superscript"/>
        <sz val="10"/>
        <color rgb="FF595959"/>
        <rFont val="Arial"/>
        <family val="2"/>
      </rPr>
      <t>8</t>
    </r>
  </si>
  <si>
    <t>Proceeds from property insurance recoveries</t>
  </si>
  <si>
    <r>
      <rPr>
        <vertAlign val="superscript"/>
        <sz val="9"/>
        <color rgb="FF595959"/>
        <rFont val="Arial"/>
        <family val="2"/>
      </rPr>
      <t>1</t>
    </r>
    <r>
      <rPr>
        <sz val="9"/>
        <color rgb="FF595959"/>
        <rFont val="Arial"/>
        <family val="2"/>
      </rPr>
      <t xml:space="preserve">Deltic earnings and profits distribution of $222 million, paid on November 15, 2018. </t>
    </r>
  </si>
  <si>
    <t>Q1 2022</t>
  </si>
  <si>
    <r>
      <t>Pension settlement charge, after tax</t>
    </r>
    <r>
      <rPr>
        <vertAlign val="superscript"/>
        <sz val="10"/>
        <color rgb="FF595959"/>
        <rFont val="Arial"/>
        <family val="2"/>
      </rPr>
      <t>6,9</t>
    </r>
  </si>
  <si>
    <r>
      <t>Pension settlement charge</t>
    </r>
    <r>
      <rPr>
        <vertAlign val="superscript"/>
        <sz val="10"/>
        <color rgb="FF595959"/>
        <rFont val="Arial"/>
        <family val="2"/>
      </rPr>
      <t>6,9</t>
    </r>
  </si>
  <si>
    <t>Accumulated other comprehensive income (loss)</t>
  </si>
  <si>
    <r>
      <rPr>
        <vertAlign val="superscript"/>
        <sz val="10"/>
        <color rgb="FF595959"/>
        <rFont val="Arial"/>
        <family val="2"/>
      </rPr>
      <t>9</t>
    </r>
    <r>
      <rPr>
        <sz val="10"/>
        <color rgb="FF595959"/>
        <rFont val="Arial"/>
        <family val="2"/>
      </rPr>
      <t>During the first quarter of 2022, we recorded a $14.2 million settlement charge related to the transfer of $75.6 million of our qualified pension plan assets to an insurance company for the purchase of a group annuity contract.</t>
    </r>
  </si>
  <si>
    <t>Net cash from investing activities</t>
  </si>
  <si>
    <t>Net cash from financing activities</t>
  </si>
  <si>
    <t>Q2 2022</t>
  </si>
  <si>
    <t>Proceeds from insurance recoveries</t>
  </si>
  <si>
    <r>
      <t>(Gain) loss on fire damage</t>
    </r>
    <r>
      <rPr>
        <vertAlign val="superscript"/>
        <sz val="10"/>
        <color rgb="FF595959"/>
        <rFont val="Arial"/>
        <family val="2"/>
      </rPr>
      <t>7</t>
    </r>
  </si>
  <si>
    <r>
      <t>(Gain) loss on fire damage, after tax</t>
    </r>
    <r>
      <rPr>
        <vertAlign val="superscript"/>
        <sz val="10"/>
        <color rgb="FF595959"/>
        <rFont val="Arial"/>
        <family val="2"/>
      </rPr>
      <t>7</t>
    </r>
  </si>
  <si>
    <t>(Gain) loss on fire damage</t>
  </si>
  <si>
    <t>Gain (loss) on fire damage</t>
  </si>
  <si>
    <t>Q3 2022</t>
  </si>
  <si>
    <t>Other</t>
  </si>
  <si>
    <t>Cash acquired in CatchMark merger</t>
  </si>
  <si>
    <t>CatchMark merger-related expenses, after tax</t>
  </si>
  <si>
    <t>Catchmark merger-related expenses, after tax</t>
  </si>
  <si>
    <t>CatchMark merger-related expenses</t>
  </si>
  <si>
    <t>Q4 2022</t>
  </si>
  <si>
    <t>Date of upload: January 30, 2023</t>
  </si>
  <si>
    <r>
      <rPr>
        <vertAlign val="superscript"/>
        <sz val="9"/>
        <rFont val="Arial"/>
        <family val="2"/>
      </rPr>
      <t>1</t>
    </r>
    <r>
      <rPr>
        <sz val="9"/>
        <rFont val="Arial"/>
        <family val="2"/>
      </rPr>
      <t xml:space="preserve">A special distribution of $222 million was paid on November 15, 2018. The special distribution represents the accumulated earnings and profits of Deltic Timber Corporation as of February 20, 2018, the date Deltic merged into a wholly-owned subsidiary of PotlatchDeltic. $44.4 million of the special distribution was paid in cash, while the remaining balance was paid in shares of PotlatchDeltic's common stock. </t>
    </r>
  </si>
  <si>
    <t>Environmental charge, after tax</t>
  </si>
  <si>
    <t>Environmental charge</t>
  </si>
  <si>
    <r>
      <rPr>
        <vertAlign val="superscript"/>
        <sz val="10"/>
        <color rgb="FF595959"/>
        <rFont val="Arial"/>
        <family val="2"/>
      </rPr>
      <t>8</t>
    </r>
    <r>
      <rPr>
        <sz val="10"/>
        <color rgb="FF595959"/>
        <rFont val="Arial"/>
        <family val="2"/>
      </rPr>
      <t>During the fourth quarter of 2022 and 2021, a special dividend of $0.95 and $4.00 per share, respectively, was paid.</t>
    </r>
  </si>
  <si>
    <r>
      <rPr>
        <vertAlign val="superscript"/>
        <sz val="9"/>
        <color rgb="FF595959"/>
        <rFont val="Arial"/>
        <family val="2"/>
      </rPr>
      <t>1</t>
    </r>
    <r>
      <rPr>
        <sz val="9"/>
        <color rgb="FF595959"/>
        <rFont val="Arial"/>
        <family val="2"/>
      </rPr>
      <t xml:space="preserve">CAD is a non-GAAP measure and includes cash-basis Deltic merger-related costs of $19.7 million and $3.3 million for fiscal years 2018 and 2017, respectively, and cash-basis CatchMark merger-related expenses of $17.8 million for fiscal year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</si>
</sst>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quot;$&quot;* #,##0.000_);_(&quot;$&quot;* \(#,##0.000\);_(&quot;$&quot;* &quot;—&quot;_);_(@_)"/>
    <numFmt numFmtId="168" formatCode="_(&quot;$&quot;* #,##0_);_(&quot;$&quot;* \(#,##0\);_(&quot;$&quot;* &quot;-&quot;??_);_(@_)"/>
    <numFmt numFmtId="169" formatCode="_(* #,##0_);_(* \(#,##0\);_(* &quot;-&quot;??_);_(@_)"/>
    <numFmt numFmtId="170" formatCode="_(\ #,##0_);_(\ \(#,##0\);_(\ 0_);_(@_)"/>
    <numFmt numFmtId="171" formatCode="_(* #,##0_);_(* \(#,##0\);_(* &quot;—&quot;_);_(@_)"/>
    <numFmt numFmtId="172" formatCode="_(\ #,##0.00_);_(\ \(#,##0.00\);_(\ &quot;—&quot;_);_(@_)"/>
    <numFmt numFmtId="173" formatCode="0.0%"/>
  </numFmts>
  <fonts count="20" x14ac:knownFonts="1">
    <font>
      <sz val="11"/>
      <color theme="1"/>
      <name val="Calibri"/>
      <family val="2"/>
      <scheme val="minor"/>
    </font>
    <font>
      <sz val="11"/>
      <color theme="1"/>
      <name val="Calibri"/>
      <family val="2"/>
      <scheme val="minor"/>
    </font>
    <font>
      <sz val="10"/>
      <color rgb="FF595959"/>
      <name val="Arial"/>
      <family val="2"/>
    </font>
    <font>
      <b/>
      <sz val="10"/>
      <color rgb="FF595959"/>
      <name val="Arial"/>
      <family val="2"/>
    </font>
    <font>
      <b/>
      <i/>
      <sz val="10"/>
      <color rgb="FF595959"/>
      <name val="Arial"/>
      <family val="2"/>
    </font>
    <font>
      <b/>
      <sz val="8"/>
      <color rgb="FF595959"/>
      <name val="Arial"/>
      <family val="2"/>
    </font>
    <font>
      <sz val="11"/>
      <color rgb="FF595959"/>
      <name val="Arial"/>
      <family val="2"/>
    </font>
    <font>
      <b/>
      <sz val="11"/>
      <color rgb="FF595959"/>
      <name val="Arial"/>
      <family val="2"/>
    </font>
    <font>
      <vertAlign val="superscript"/>
      <sz val="10"/>
      <color rgb="FF595959"/>
      <name val="Arial"/>
      <family val="2"/>
    </font>
    <font>
      <sz val="9"/>
      <color rgb="FF595959"/>
      <name val="Arial"/>
      <family val="2"/>
    </font>
    <font>
      <vertAlign val="superscript"/>
      <sz val="9"/>
      <color rgb="FF595959"/>
      <name val="Arial"/>
      <family val="2"/>
    </font>
    <font>
      <u/>
      <sz val="11"/>
      <color theme="10"/>
      <name val="Calibri"/>
      <family val="2"/>
      <scheme val="minor"/>
    </font>
    <font>
      <i/>
      <sz val="10"/>
      <color rgb="FF595959"/>
      <name val="Arial"/>
      <family val="2"/>
    </font>
    <font>
      <u/>
      <sz val="10"/>
      <color rgb="FF595959"/>
      <name val="Arial"/>
      <family val="2"/>
    </font>
    <font>
      <sz val="7"/>
      <color rgb="FF333333"/>
      <name val="Arial"/>
      <family val="2"/>
    </font>
    <font>
      <b/>
      <sz val="9"/>
      <color rgb="FF595959"/>
      <name val="Arial"/>
      <family val="2"/>
    </font>
    <font>
      <b/>
      <sz val="10"/>
      <color rgb="FFFF0000"/>
      <name val="Arial"/>
      <family val="2"/>
    </font>
    <font>
      <sz val="10"/>
      <color rgb="FFFF0000"/>
      <name val="Arial"/>
      <family val="2"/>
    </font>
    <font>
      <sz val="9"/>
      <name val="Arial"/>
      <family val="2"/>
    </font>
    <font>
      <vertAlign val="superscript"/>
      <sz val="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right/>
      <top/>
      <bottom style="thin">
        <color auto="1"/>
      </bottom>
      <diagonal/>
    </border>
    <border>
      <left/>
      <right/>
      <top style="thin">
        <color indexed="64"/>
      </top>
      <bottom style="thin">
        <color auto="1"/>
      </bottom>
      <diagonal/>
    </border>
    <border>
      <left/>
      <right/>
      <top style="thin">
        <color indexed="64"/>
      </top>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95">
    <xf numFmtId="0" fontId="0" fillId="0" borderId="0" xfId="0"/>
    <xf numFmtId="0" fontId="2" fillId="0" borderId="0" xfId="0" quotePrefix="1" applyFont="1" applyAlignment="1">
      <alignment horizontal="left" vertical="top"/>
    </xf>
    <xf numFmtId="0" fontId="2" fillId="0" borderId="0" xfId="0" applyFont="1"/>
    <xf numFmtId="0" fontId="2" fillId="0" borderId="0" xfId="0" applyFont="1" applyAlignment="1">
      <alignment horizontal="right"/>
    </xf>
    <xf numFmtId="0" fontId="2" fillId="0" borderId="0" xfId="0" quotePrefix="1" applyFont="1" applyAlignment="1">
      <alignment horizontal="left" vertical="top" indent="2"/>
    </xf>
    <xf numFmtId="165" fontId="2" fillId="0" borderId="0" xfId="0" applyNumberFormat="1" applyFont="1" applyAlignment="1">
      <alignment horizontal="right"/>
    </xf>
    <xf numFmtId="165" fontId="2" fillId="0" borderId="1" xfId="0" applyNumberFormat="1" applyFont="1" applyBorder="1" applyAlignment="1">
      <alignment horizontal="right"/>
    </xf>
    <xf numFmtId="0" fontId="2" fillId="0" borderId="0" xfId="0" applyFont="1" applyAlignment="1">
      <alignment horizontal="left" vertical="top"/>
    </xf>
    <xf numFmtId="165" fontId="2" fillId="0" borderId="2" xfId="0" applyNumberFormat="1" applyFont="1" applyBorder="1" applyAlignment="1">
      <alignment horizontal="right"/>
    </xf>
    <xf numFmtId="165" fontId="2" fillId="0" borderId="3" xfId="0" applyNumberFormat="1" applyFont="1" applyBorder="1" applyAlignment="1">
      <alignment horizontal="right"/>
    </xf>
    <xf numFmtId="164" fontId="2" fillId="0" borderId="4" xfId="0" applyNumberFormat="1" applyFont="1" applyBorder="1" applyAlignment="1">
      <alignment horizontal="right"/>
    </xf>
    <xf numFmtId="164"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Alignment="1">
      <alignment horizontal="right"/>
    </xf>
    <xf numFmtId="0" fontId="3" fillId="0" borderId="0" xfId="0" applyFont="1" applyAlignment="1">
      <alignment horizontal="center"/>
    </xf>
    <xf numFmtId="0" fontId="3" fillId="0" borderId="0" xfId="0" quotePrefix="1" applyFont="1"/>
    <xf numFmtId="0" fontId="3" fillId="0" borderId="0" xfId="0" applyFont="1" applyAlignment="1">
      <alignment horizontal="center"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right"/>
    </xf>
    <xf numFmtId="165" fontId="3" fillId="0" borderId="0" xfId="0" applyNumberFormat="1" applyFont="1" applyAlignment="1">
      <alignment horizontal="right"/>
    </xf>
    <xf numFmtId="165" fontId="3" fillId="0" borderId="1"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4" fontId="3" fillId="0" borderId="4" xfId="0" applyNumberFormat="1" applyFont="1" applyBorder="1" applyAlignment="1">
      <alignment horizontal="right"/>
    </xf>
    <xf numFmtId="164" fontId="3" fillId="0" borderId="0" xfId="0" applyNumberFormat="1" applyFont="1" applyAlignment="1">
      <alignment horizontal="right"/>
    </xf>
    <xf numFmtId="166" fontId="3" fillId="0" borderId="0" xfId="0" applyNumberFormat="1" applyFont="1" applyAlignment="1">
      <alignment horizontal="right"/>
    </xf>
    <xf numFmtId="167" fontId="3" fillId="0" borderId="0" xfId="0" applyNumberFormat="1" applyFont="1" applyAlignment="1">
      <alignment horizontal="right"/>
    </xf>
    <xf numFmtId="168" fontId="3" fillId="0" borderId="0" xfId="2" applyNumberFormat="1" applyFont="1" applyFill="1" applyAlignment="1">
      <alignment horizontal="right"/>
    </xf>
    <xf numFmtId="168" fontId="2" fillId="0" borderId="0" xfId="2" applyNumberFormat="1" applyFont="1" applyFill="1" applyAlignment="1">
      <alignment horizontal="right"/>
    </xf>
    <xf numFmtId="0" fontId="3" fillId="0" borderId="0" xfId="0" applyFont="1" applyAlignment="1">
      <alignment horizontal="left"/>
    </xf>
    <xf numFmtId="0" fontId="4" fillId="0" borderId="0" xfId="0" quotePrefix="1" applyFont="1" applyAlignment="1">
      <alignment horizontal="left" vertical="top"/>
    </xf>
    <xf numFmtId="0" fontId="2" fillId="0" borderId="0" xfId="0" quotePrefix="1" applyFont="1" applyAlignment="1">
      <alignment horizontal="left" vertical="top" wrapText="1" indent="2"/>
    </xf>
    <xf numFmtId="0" fontId="2" fillId="0" borderId="0" xfId="0" quotePrefix="1" applyFont="1" applyAlignment="1">
      <alignment horizontal="left" vertical="top" indent="4"/>
    </xf>
    <xf numFmtId="0" fontId="3" fillId="0" borderId="0" xfId="0" quotePrefix="1" applyFont="1" applyAlignment="1">
      <alignment horizontal="left" vertical="top" indent="4"/>
    </xf>
    <xf numFmtId="14" fontId="3" fillId="0" borderId="1" xfId="0" applyNumberFormat="1" applyFont="1" applyBorder="1" applyAlignment="1">
      <alignment horizontal="center"/>
    </xf>
    <xf numFmtId="14" fontId="2" fillId="0" borderId="1" xfId="0" applyNumberFormat="1" applyFont="1" applyBorder="1" applyAlignment="1">
      <alignment horizontal="center"/>
    </xf>
    <xf numFmtId="164" fontId="2" fillId="0" borderId="0" xfId="0" applyNumberFormat="1" applyFont="1"/>
    <xf numFmtId="0" fontId="3" fillId="0" borderId="1" xfId="0" applyFont="1" applyBorder="1" applyAlignment="1">
      <alignment horizontal="center"/>
    </xf>
    <xf numFmtId="170" fontId="2" fillId="0" borderId="1" xfId="0" applyNumberFormat="1" applyFont="1" applyBorder="1" applyAlignment="1">
      <alignment horizontal="right"/>
    </xf>
    <xf numFmtId="171" fontId="2" fillId="0" borderId="1" xfId="0" applyNumberFormat="1" applyFont="1" applyBorder="1" applyAlignment="1">
      <alignment horizontal="right"/>
    </xf>
    <xf numFmtId="49" fontId="4" fillId="0" borderId="0" xfId="0" quotePrefix="1" applyNumberFormat="1" applyFont="1" applyAlignment="1">
      <alignment horizontal="left" vertical="top" wrapText="1"/>
    </xf>
    <xf numFmtId="49" fontId="2" fillId="0" borderId="0" xfId="0" quotePrefix="1" applyNumberFormat="1" applyFont="1" applyAlignment="1">
      <alignment horizontal="left" vertical="top" wrapText="1" indent="1"/>
    </xf>
    <xf numFmtId="168" fontId="2" fillId="0" borderId="4" xfId="2" applyNumberFormat="1" applyFont="1" applyFill="1" applyBorder="1" applyAlignment="1">
      <alignment horizontal="right"/>
    </xf>
    <xf numFmtId="0" fontId="2" fillId="0" borderId="1" xfId="0" applyFont="1" applyBorder="1" applyAlignment="1">
      <alignment horizontal="center"/>
    </xf>
    <xf numFmtId="170" fontId="3" fillId="0" borderId="1" xfId="0" applyNumberFormat="1" applyFont="1" applyBorder="1" applyAlignment="1">
      <alignment horizontal="right"/>
    </xf>
    <xf numFmtId="171" fontId="3" fillId="0" borderId="1" xfId="0" applyNumberFormat="1" applyFont="1" applyBorder="1" applyAlignment="1">
      <alignment horizontal="right"/>
    </xf>
    <xf numFmtId="168" fontId="3" fillId="0" borderId="4" xfId="2" applyNumberFormat="1" applyFont="1" applyFill="1" applyBorder="1" applyAlignment="1">
      <alignment horizontal="right"/>
    </xf>
    <xf numFmtId="49" fontId="2" fillId="0" borderId="0" xfId="0" quotePrefix="1" applyNumberFormat="1" applyFont="1" applyAlignment="1">
      <alignment horizontal="left" vertical="top" wrapText="1" indent="2"/>
    </xf>
    <xf numFmtId="0" fontId="4" fillId="0" borderId="0" xfId="0" applyFont="1" applyAlignment="1">
      <alignment horizontal="left" wrapText="1"/>
    </xf>
    <xf numFmtId="0" fontId="5" fillId="0" borderId="0" xfId="0" quotePrefix="1" applyFont="1" applyAlignment="1">
      <alignment horizontal="left"/>
    </xf>
    <xf numFmtId="0" fontId="5" fillId="0" borderId="0" xfId="0" applyFont="1" applyAlignment="1">
      <alignment horizontal="center"/>
    </xf>
    <xf numFmtId="0" fontId="3" fillId="0" borderId="0" xfId="0" quotePrefix="1" applyFont="1" applyAlignment="1">
      <alignment horizontal="left" vertical="top"/>
    </xf>
    <xf numFmtId="0" fontId="2" fillId="0" borderId="0" xfId="0" applyFont="1" applyAlignment="1">
      <alignment horizontal="left" vertical="top" indent="2"/>
    </xf>
    <xf numFmtId="168" fontId="2" fillId="0" borderId="0" xfId="2" applyNumberFormat="1" applyFont="1" applyFill="1" applyBorder="1" applyAlignment="1">
      <alignment horizontal="right"/>
    </xf>
    <xf numFmtId="169" fontId="2" fillId="0" borderId="0" xfId="1" applyNumberFormat="1" applyFont="1" applyFill="1" applyBorder="1" applyAlignment="1">
      <alignment horizontal="right"/>
    </xf>
    <xf numFmtId="169" fontId="2" fillId="0" borderId="3" xfId="1" applyNumberFormat="1" applyFont="1" applyFill="1" applyBorder="1" applyAlignment="1">
      <alignment horizontal="right"/>
    </xf>
    <xf numFmtId="0" fontId="6" fillId="0" borderId="0" xfId="0" applyFont="1"/>
    <xf numFmtId="168" fontId="2" fillId="0" borderId="0" xfId="0" applyNumberFormat="1" applyFont="1" applyAlignment="1">
      <alignment horizontal="right"/>
    </xf>
    <xf numFmtId="0" fontId="7" fillId="0" borderId="0" xfId="0" applyFont="1"/>
    <xf numFmtId="168" fontId="3" fillId="0" borderId="0" xfId="2" applyNumberFormat="1" applyFont="1" applyFill="1" applyBorder="1" applyAlignment="1">
      <alignment horizontal="right"/>
    </xf>
    <xf numFmtId="169" fontId="3" fillId="0" borderId="0" xfId="1" applyNumberFormat="1" applyFont="1" applyFill="1" applyBorder="1" applyAlignment="1">
      <alignment horizontal="right"/>
    </xf>
    <xf numFmtId="169" fontId="3" fillId="0" borderId="3" xfId="1" applyNumberFormat="1" applyFont="1" applyFill="1" applyBorder="1" applyAlignment="1">
      <alignment horizontal="right"/>
    </xf>
    <xf numFmtId="168" fontId="3" fillId="0" borderId="0" xfId="0" applyNumberFormat="1" applyFont="1" applyAlignment="1">
      <alignment horizontal="right"/>
    </xf>
    <xf numFmtId="0" fontId="9" fillId="0" borderId="0" xfId="0" applyFont="1"/>
    <xf numFmtId="166" fontId="3" fillId="0" borderId="4" xfId="0" applyNumberFormat="1" applyFont="1" applyBorder="1" applyAlignment="1">
      <alignment horizontal="right"/>
    </xf>
    <xf numFmtId="166" fontId="2" fillId="0" borderId="4" xfId="0" applyNumberFormat="1" applyFont="1" applyBorder="1" applyAlignment="1">
      <alignment horizontal="right"/>
    </xf>
    <xf numFmtId="172" fontId="3" fillId="0" borderId="0" xfId="0" applyNumberFormat="1" applyFont="1" applyAlignment="1">
      <alignment horizontal="right"/>
    </xf>
    <xf numFmtId="172" fontId="2" fillId="0" borderId="0" xfId="0" applyNumberFormat="1" applyFont="1" applyAlignment="1">
      <alignment horizontal="right"/>
    </xf>
    <xf numFmtId="170" fontId="3" fillId="0" borderId="0" xfId="0" applyNumberFormat="1" applyFont="1" applyAlignment="1">
      <alignment horizontal="right"/>
    </xf>
    <xf numFmtId="170" fontId="2" fillId="0" borderId="0" xfId="0" applyNumberFormat="1" applyFont="1" applyAlignment="1">
      <alignment horizontal="right"/>
    </xf>
    <xf numFmtId="164" fontId="2" fillId="0" borderId="1" xfId="0" applyNumberFormat="1" applyFont="1" applyBorder="1" applyAlignment="1">
      <alignment horizontal="right"/>
    </xf>
    <xf numFmtId="164" fontId="3" fillId="0" borderId="1" xfId="0" applyNumberFormat="1" applyFont="1" applyBorder="1" applyAlignment="1">
      <alignment horizontal="right"/>
    </xf>
    <xf numFmtId="0" fontId="14" fillId="0" borderId="0" xfId="0" applyFont="1"/>
    <xf numFmtId="0" fontId="15" fillId="0" borderId="0" xfId="0" applyFont="1"/>
    <xf numFmtId="0" fontId="2" fillId="2" borderId="0" xfId="0" applyFont="1" applyFill="1"/>
    <xf numFmtId="0" fontId="3" fillId="2" borderId="0" xfId="0" applyFont="1" applyFill="1"/>
    <xf numFmtId="0" fontId="11" fillId="2" borderId="0" xfId="3" applyFill="1" applyBorder="1" applyAlignment="1"/>
    <xf numFmtId="0" fontId="11" fillId="2" borderId="0" xfId="3" applyFill="1" applyBorder="1"/>
    <xf numFmtId="0" fontId="13" fillId="2" borderId="0" xfId="0" applyFont="1" applyFill="1"/>
    <xf numFmtId="0" fontId="16" fillId="0" borderId="0" xfId="0" applyFont="1"/>
    <xf numFmtId="0" fontId="3" fillId="0" borderId="0" xfId="0" applyFont="1"/>
    <xf numFmtId="164" fontId="3" fillId="0" borderId="0" xfId="0" applyNumberFormat="1" applyFont="1"/>
    <xf numFmtId="0" fontId="9" fillId="0" borderId="0" xfId="0" quotePrefix="1" applyFont="1" applyAlignment="1">
      <alignment horizontal="left" vertical="top"/>
    </xf>
    <xf numFmtId="165" fontId="2" fillId="0" borderId="0" xfId="1" applyNumberFormat="1" applyFont="1" applyFill="1" applyAlignment="1">
      <alignment horizontal="right"/>
    </xf>
    <xf numFmtId="165" fontId="3" fillId="0" borderId="0" xfId="1" applyNumberFormat="1" applyFont="1" applyFill="1" applyAlignment="1">
      <alignment horizontal="right"/>
    </xf>
    <xf numFmtId="0" fontId="17" fillId="2" borderId="0" xfId="0" applyFont="1" applyFill="1"/>
    <xf numFmtId="165" fontId="2" fillId="3" borderId="0" xfId="0" applyNumberFormat="1" applyFont="1" applyFill="1" applyAlignment="1">
      <alignment horizontal="right"/>
    </xf>
    <xf numFmtId="0" fontId="2" fillId="3" borderId="0" xfId="0" quotePrefix="1" applyFont="1" applyFill="1" applyAlignment="1">
      <alignment horizontal="left" vertical="top" indent="2"/>
    </xf>
    <xf numFmtId="173" fontId="2" fillId="0" borderId="0" xfId="4" applyNumberFormat="1" applyFont="1"/>
    <xf numFmtId="0" fontId="2" fillId="2" borderId="0" xfId="0" applyFont="1" applyFill="1" applyAlignment="1">
      <alignment horizontal="left" vertical="center" wrapText="1"/>
    </xf>
    <xf numFmtId="0" fontId="18" fillId="0" borderId="0" xfId="0" quotePrefix="1" applyFont="1" applyAlignment="1">
      <alignment horizontal="left" wrapText="1"/>
    </xf>
    <xf numFmtId="0" fontId="9" fillId="0" borderId="0" xfId="0" applyFont="1" applyAlignment="1">
      <alignment horizontal="left" wrapText="1"/>
    </xf>
    <xf numFmtId="0" fontId="2" fillId="0" borderId="0" xfId="0" applyFont="1" applyAlignment="1">
      <alignment horizontal="left" wrapText="1"/>
    </xf>
  </cellXfs>
  <cellStyles count="5">
    <cellStyle name="Comma" xfId="1" builtinId="3"/>
    <cellStyle name="Currency" xfId="2" builtinId="4"/>
    <cellStyle name="Hyperlink" xfId="3" builtinId="8"/>
    <cellStyle name="Normal" xfId="0" builtinId="0"/>
    <cellStyle name="Percent" xfId="4" builtinId="5"/>
  </cellStyles>
  <dxfs count="841">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s>
  <tableStyles count="0" defaultTableStyle="TableStyleMedium2" defaultPivotStyle="PivotStyleLight16"/>
  <colors>
    <mruColors>
      <color rgb="FF595959"/>
      <color rgb="FFF2F2F2"/>
      <color rgb="FFFFFFFF"/>
      <color rgb="FF265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19050</xdr:rowOff>
    </xdr:from>
    <xdr:to>
      <xdr:col>3</xdr:col>
      <xdr:colOff>593816</xdr:colOff>
      <xdr:row>4</xdr:row>
      <xdr:rowOff>61633</xdr:rowOff>
    </xdr:to>
    <xdr:pic>
      <xdr:nvPicPr>
        <xdr:cNvPr id="2" name="Picture 1">
          <a:extLst>
            <a:ext uri="{FF2B5EF4-FFF2-40B4-BE49-F238E27FC236}">
              <a16:creationId xmlns:a16="http://schemas.microsoft.com/office/drawing/2014/main" id="{99533A64-3475-4060-BF70-ED9EC9497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361950"/>
          <a:ext cx="1774916" cy="385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vestors.potlatchdeltic.com/home/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1E0E3-FB6C-41A9-BAED-684CAED9759F}">
  <sheetPr>
    <tabColor theme="9" tint="0.59999389629810485"/>
    <pageSetUpPr fitToPage="1"/>
  </sheetPr>
  <dimension ref="B6:Q25"/>
  <sheetViews>
    <sheetView showGridLines="0" zoomScale="80" zoomScaleNormal="80" workbookViewId="0">
      <selection activeCell="T21" sqref="T21"/>
    </sheetView>
  </sheetViews>
  <sheetFormatPr defaultColWidth="8.85546875" defaultRowHeight="12.75" x14ac:dyDescent="0.2"/>
  <cols>
    <col min="1" max="1" width="4.85546875" style="2" customWidth="1"/>
    <col min="2" max="16384" width="8.85546875" style="2"/>
  </cols>
  <sheetData>
    <row r="6" spans="2:14" x14ac:dyDescent="0.2">
      <c r="B6" s="76"/>
      <c r="C6" s="76"/>
      <c r="D6" s="76"/>
      <c r="E6" s="76"/>
      <c r="F6" s="76"/>
      <c r="G6" s="76"/>
      <c r="H6" s="76"/>
      <c r="I6" s="76"/>
      <c r="J6" s="76"/>
      <c r="K6" s="76"/>
      <c r="L6" s="76"/>
      <c r="M6" s="76"/>
      <c r="N6" s="76"/>
    </row>
    <row r="7" spans="2:14" x14ac:dyDescent="0.2">
      <c r="B7" s="77" t="s">
        <v>73</v>
      </c>
      <c r="C7" s="76"/>
      <c r="D7" s="76"/>
      <c r="E7" s="76"/>
      <c r="F7" s="76"/>
      <c r="G7" s="76"/>
      <c r="H7" s="76"/>
      <c r="I7" s="76"/>
      <c r="J7" s="76"/>
      <c r="K7" s="76"/>
      <c r="L7" s="76"/>
      <c r="M7" s="76"/>
      <c r="N7" s="76"/>
    </row>
    <row r="8" spans="2:14" x14ac:dyDescent="0.2">
      <c r="B8" s="77" t="s">
        <v>107</v>
      </c>
      <c r="C8" s="76"/>
      <c r="D8" s="76"/>
      <c r="E8" s="76"/>
      <c r="F8" s="76"/>
      <c r="G8" s="76"/>
      <c r="H8" s="76"/>
      <c r="I8" s="76"/>
      <c r="J8" s="76"/>
      <c r="K8" s="76"/>
      <c r="L8" s="76"/>
      <c r="M8" s="76"/>
      <c r="N8" s="76"/>
    </row>
    <row r="9" spans="2:14" x14ac:dyDescent="0.2">
      <c r="B9" s="76" t="s">
        <v>205</v>
      </c>
      <c r="C9" s="76"/>
      <c r="D9" s="76"/>
      <c r="E9" s="76"/>
      <c r="F9" s="76"/>
      <c r="G9" s="76"/>
      <c r="H9" s="76"/>
      <c r="I9" s="76"/>
      <c r="J9" s="76"/>
      <c r="K9" s="76"/>
      <c r="L9" s="76"/>
      <c r="M9" s="76"/>
      <c r="N9" s="76"/>
    </row>
    <row r="10" spans="2:14" x14ac:dyDescent="0.2">
      <c r="B10" s="76"/>
      <c r="C10" s="76"/>
      <c r="D10" s="76"/>
      <c r="E10" s="76"/>
      <c r="F10" s="76"/>
      <c r="G10" s="76"/>
      <c r="H10" s="76"/>
      <c r="I10" s="76"/>
      <c r="J10" s="76"/>
      <c r="K10" s="76"/>
      <c r="L10" s="76"/>
      <c r="M10" s="76"/>
      <c r="N10" s="76"/>
    </row>
    <row r="11" spans="2:14" x14ac:dyDescent="0.2">
      <c r="B11" s="76" t="s">
        <v>137</v>
      </c>
      <c r="C11" s="76"/>
      <c r="D11" s="76"/>
      <c r="E11" s="76"/>
      <c r="F11" s="76"/>
      <c r="G11" s="76"/>
      <c r="H11" s="76"/>
      <c r="I11" s="76"/>
      <c r="J11" s="76"/>
      <c r="K11" s="76"/>
      <c r="L11" s="76"/>
      <c r="M11" s="76"/>
      <c r="N11" s="76"/>
    </row>
    <row r="12" spans="2:14" x14ac:dyDescent="0.2">
      <c r="B12" s="76"/>
      <c r="C12" s="76"/>
      <c r="D12" s="76"/>
      <c r="E12" s="76"/>
      <c r="F12" s="76"/>
      <c r="G12" s="76"/>
      <c r="H12" s="76"/>
      <c r="I12" s="76"/>
      <c r="J12" s="76"/>
      <c r="K12" s="76"/>
      <c r="L12" s="76"/>
      <c r="M12" s="76"/>
      <c r="N12" s="76"/>
    </row>
    <row r="13" spans="2:14" ht="15" x14ac:dyDescent="0.25">
      <c r="B13" s="78" t="s">
        <v>122</v>
      </c>
      <c r="C13" s="78"/>
      <c r="D13" s="78"/>
      <c r="E13" s="78"/>
      <c r="F13" s="78"/>
      <c r="G13" s="78"/>
      <c r="H13" s="78"/>
      <c r="I13" s="78"/>
      <c r="J13" s="78"/>
      <c r="K13" s="76"/>
      <c r="L13" s="76"/>
      <c r="M13" s="76"/>
      <c r="N13" s="76"/>
    </row>
    <row r="14" spans="2:14" ht="15" x14ac:dyDescent="0.25">
      <c r="B14" s="79"/>
      <c r="C14" s="76"/>
      <c r="D14" s="76"/>
      <c r="E14" s="76"/>
      <c r="F14" s="76"/>
      <c r="G14" s="76"/>
      <c r="H14" s="76"/>
      <c r="I14" s="76"/>
      <c r="J14" s="76"/>
      <c r="K14" s="76"/>
      <c r="L14" s="76"/>
      <c r="M14" s="76"/>
      <c r="N14" s="76"/>
    </row>
    <row r="15" spans="2:14" x14ac:dyDescent="0.2">
      <c r="B15" s="87" t="s">
        <v>206</v>
      </c>
      <c r="C15" s="76"/>
      <c r="D15" s="76"/>
      <c r="E15" s="76"/>
      <c r="F15" s="76"/>
      <c r="G15" s="76"/>
      <c r="H15" s="76"/>
      <c r="I15" s="76"/>
      <c r="J15" s="76"/>
      <c r="K15" s="76"/>
      <c r="L15" s="76"/>
      <c r="M15" s="76"/>
      <c r="N15" s="76"/>
    </row>
    <row r="16" spans="2:14" x14ac:dyDescent="0.2">
      <c r="B16" s="76"/>
      <c r="C16" s="76"/>
      <c r="D16" s="76"/>
      <c r="E16" s="76"/>
      <c r="F16" s="76"/>
      <c r="G16" s="76"/>
      <c r="H16" s="76"/>
      <c r="I16" s="76"/>
      <c r="J16" s="76"/>
      <c r="K16" s="76"/>
      <c r="L16" s="76"/>
      <c r="M16" s="76"/>
      <c r="N16" s="76"/>
    </row>
    <row r="17" spans="2:17" ht="15" customHeight="1" x14ac:dyDescent="0.2"/>
    <row r="18" spans="2:17" x14ac:dyDescent="0.2">
      <c r="B18" s="76" t="s">
        <v>114</v>
      </c>
      <c r="C18" s="76"/>
      <c r="D18" s="76"/>
      <c r="E18" s="76"/>
      <c r="F18" s="76"/>
      <c r="G18" s="76"/>
      <c r="H18" s="76"/>
      <c r="I18" s="76"/>
      <c r="J18" s="76"/>
      <c r="K18" s="76"/>
      <c r="L18" s="76"/>
      <c r="M18" s="76"/>
      <c r="N18" s="76"/>
    </row>
    <row r="19" spans="2:17" ht="64.5" customHeight="1" x14ac:dyDescent="0.2">
      <c r="B19" s="91" t="s">
        <v>144</v>
      </c>
      <c r="C19" s="91"/>
      <c r="D19" s="91"/>
      <c r="E19" s="91"/>
      <c r="F19" s="91"/>
      <c r="G19" s="91"/>
      <c r="H19" s="91"/>
      <c r="I19" s="91"/>
      <c r="J19" s="91"/>
      <c r="K19" s="91"/>
      <c r="L19" s="91"/>
      <c r="M19" s="91"/>
      <c r="N19" s="91"/>
    </row>
    <row r="20" spans="2:17" ht="15" customHeight="1" x14ac:dyDescent="0.2"/>
    <row r="21" spans="2:17" x14ac:dyDescent="0.2">
      <c r="B21" s="80" t="s">
        <v>115</v>
      </c>
      <c r="C21" s="76"/>
      <c r="D21" s="76"/>
      <c r="E21" s="76"/>
      <c r="F21" s="76"/>
      <c r="G21" s="76"/>
      <c r="H21" s="76"/>
      <c r="I21" s="76"/>
      <c r="J21" s="76"/>
      <c r="K21" s="76"/>
      <c r="L21" s="76"/>
      <c r="M21" s="76"/>
      <c r="N21" s="76"/>
    </row>
    <row r="22" spans="2:17" ht="54" customHeight="1" x14ac:dyDescent="0.2">
      <c r="B22" s="91" t="s">
        <v>119</v>
      </c>
      <c r="C22" s="91"/>
      <c r="D22" s="91"/>
      <c r="E22" s="91"/>
      <c r="F22" s="91"/>
      <c r="G22" s="91"/>
      <c r="H22" s="91"/>
      <c r="I22" s="91"/>
      <c r="J22" s="91"/>
      <c r="K22" s="91"/>
      <c r="L22" s="91"/>
      <c r="M22" s="91"/>
      <c r="N22" s="91"/>
    </row>
    <row r="24" spans="2:17" ht="12.6" customHeight="1" x14ac:dyDescent="0.2"/>
    <row r="25" spans="2:17" x14ac:dyDescent="0.2">
      <c r="Q25" s="74"/>
    </row>
  </sheetData>
  <mergeCells count="2">
    <mergeCell ref="B22:N22"/>
    <mergeCell ref="B19:N19"/>
  </mergeCells>
  <hyperlinks>
    <hyperlink ref="B13" r:id="rId1" xr:uid="{C9DE8D3F-B136-4472-BB7F-127CEF3AF3AC}"/>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BFB5-3652-4DCC-A5C0-1722000B0930}">
  <sheetPr>
    <tabColor theme="9" tint="0.59999389629810485"/>
    <pageSetUpPr fitToPage="1"/>
  </sheetPr>
  <dimension ref="A1:AK99"/>
  <sheetViews>
    <sheetView showGridLines="0" tabSelected="1" zoomScaleNormal="100" workbookViewId="0">
      <pane xSplit="1" ySplit="5" topLeftCell="AA67" activePane="bottomRight" state="frozen"/>
      <selection activeCell="AP25" sqref="AP25"/>
      <selection pane="topRight" activeCell="AP25" sqref="AP25"/>
      <selection pane="bottomLeft" activeCell="AP25" sqref="AP25"/>
      <selection pane="bottomRight" activeCell="AD74" sqref="AD74"/>
    </sheetView>
  </sheetViews>
  <sheetFormatPr defaultColWidth="9.28515625" defaultRowHeight="12.75" x14ac:dyDescent="0.2"/>
  <cols>
    <col min="1" max="1" width="65.85546875" style="2" customWidth="1"/>
    <col min="2" max="18" width="13.7109375" style="2" hidden="1" customWidth="1"/>
    <col min="19" max="20" width="11" style="2" hidden="1" customWidth="1"/>
    <col min="21" max="21" width="13.7109375" style="2" hidden="1" customWidth="1"/>
    <col min="22" max="23" width="11" style="2" hidden="1" customWidth="1"/>
    <col min="24" max="25" width="9.7109375" style="2" hidden="1" customWidth="1"/>
    <col min="26" max="26" width="13.7109375" style="2" hidden="1" customWidth="1"/>
    <col min="27" max="30" width="11" style="2" customWidth="1"/>
    <col min="31" max="31" width="13.7109375" style="2" customWidth="1"/>
    <col min="32" max="35" width="11" style="2" customWidth="1"/>
    <col min="36" max="36" width="14" style="2" customWidth="1"/>
    <col min="37" max="37" width="9.28515625" style="2"/>
    <col min="38" max="38" width="7.28515625" style="2" bestFit="1" customWidth="1"/>
    <col min="39" max="16384" width="9.28515625" style="2"/>
  </cols>
  <sheetData>
    <row r="1" spans="1:36" s="16" customFormat="1" x14ac:dyDescent="0.2">
      <c r="A1" s="31" t="s">
        <v>73</v>
      </c>
      <c r="B1" s="15"/>
      <c r="C1" s="15"/>
      <c r="D1" s="15"/>
      <c r="E1" s="15"/>
      <c r="F1" s="15"/>
      <c r="G1" s="15"/>
      <c r="H1" s="15"/>
      <c r="I1" s="15"/>
      <c r="J1" s="15"/>
      <c r="K1" s="15" t="s">
        <v>89</v>
      </c>
      <c r="L1" s="15"/>
      <c r="M1" s="15"/>
      <c r="N1" s="15"/>
      <c r="O1" s="15"/>
      <c r="P1" s="15"/>
      <c r="Q1" s="15"/>
      <c r="R1" s="15"/>
      <c r="U1" s="15"/>
      <c r="Z1" s="15"/>
      <c r="AE1" s="15"/>
      <c r="AJ1" s="15"/>
    </row>
    <row r="2" spans="1:36" s="16" customFormat="1" x14ac:dyDescent="0.2">
      <c r="A2" s="31" t="s">
        <v>157</v>
      </c>
      <c r="B2" s="15"/>
      <c r="C2" s="15"/>
      <c r="D2" s="15"/>
      <c r="E2" s="15"/>
      <c r="F2" s="15"/>
      <c r="G2" s="15"/>
      <c r="H2" s="15"/>
      <c r="I2" s="15"/>
      <c r="J2" s="15"/>
      <c r="K2" s="15"/>
      <c r="L2" s="15"/>
      <c r="M2" s="15"/>
      <c r="N2" s="15"/>
      <c r="O2" s="15"/>
      <c r="P2" s="15"/>
      <c r="Q2" s="15"/>
      <c r="R2" s="15"/>
      <c r="U2" s="15"/>
      <c r="Z2" s="15"/>
      <c r="AE2" s="15"/>
      <c r="AJ2" s="15"/>
    </row>
    <row r="3" spans="1:36" s="16" customFormat="1" x14ac:dyDescent="0.2">
      <c r="A3" s="17" t="s">
        <v>131</v>
      </c>
      <c r="B3" s="15"/>
      <c r="C3" s="15"/>
      <c r="D3" s="15"/>
      <c r="E3" s="15"/>
      <c r="F3" s="15"/>
      <c r="G3" s="15"/>
      <c r="H3" s="15"/>
      <c r="I3" s="15"/>
      <c r="J3" s="15"/>
      <c r="K3" s="15"/>
      <c r="L3" s="15"/>
      <c r="M3" s="15"/>
      <c r="N3" s="15"/>
      <c r="O3" s="15"/>
      <c r="P3" s="15"/>
      <c r="Q3" s="15"/>
      <c r="R3" s="15"/>
      <c r="U3" s="15"/>
      <c r="Z3" s="15"/>
      <c r="AE3" s="15"/>
      <c r="AJ3" s="15"/>
    </row>
    <row r="4" spans="1:36" s="16" customFormat="1" x14ac:dyDescent="0.2">
      <c r="A4" s="17" t="s">
        <v>130</v>
      </c>
      <c r="B4" s="15"/>
      <c r="C4" s="15"/>
      <c r="D4" s="15"/>
      <c r="E4" s="15"/>
      <c r="F4" s="15"/>
      <c r="G4" s="15"/>
      <c r="H4" s="15"/>
      <c r="I4" s="15"/>
      <c r="J4" s="15"/>
      <c r="K4" s="15"/>
      <c r="L4" s="15"/>
      <c r="M4" s="15"/>
      <c r="N4" s="15"/>
      <c r="O4" s="15"/>
      <c r="P4" s="15"/>
      <c r="Q4" s="15"/>
      <c r="R4" s="15"/>
      <c r="U4" s="15"/>
      <c r="Z4" s="15"/>
      <c r="AE4" s="15"/>
      <c r="AJ4" s="15"/>
    </row>
    <row r="5" spans="1:36" s="19" customFormat="1" x14ac:dyDescent="0.2">
      <c r="A5" s="17"/>
      <c r="B5" s="45" t="s">
        <v>61</v>
      </c>
      <c r="C5" s="45" t="s">
        <v>62</v>
      </c>
      <c r="D5" s="45" t="s">
        <v>63</v>
      </c>
      <c r="E5" s="45" t="s">
        <v>64</v>
      </c>
      <c r="F5" s="39">
        <v>2016</v>
      </c>
      <c r="G5" s="45" t="s">
        <v>72</v>
      </c>
      <c r="H5" s="45" t="s">
        <v>71</v>
      </c>
      <c r="I5" s="45" t="s">
        <v>70</v>
      </c>
      <c r="J5" s="45" t="s">
        <v>69</v>
      </c>
      <c r="K5" s="39">
        <v>2017</v>
      </c>
      <c r="L5" s="45" t="s">
        <v>68</v>
      </c>
      <c r="M5" s="45" t="s">
        <v>67</v>
      </c>
      <c r="N5" s="45" t="s">
        <v>66</v>
      </c>
      <c r="O5" s="45" t="s">
        <v>65</v>
      </c>
      <c r="P5" s="39">
        <v>2018</v>
      </c>
      <c r="Q5" s="45" t="s">
        <v>138</v>
      </c>
      <c r="R5" s="45" t="s">
        <v>150</v>
      </c>
      <c r="S5" s="45" t="s">
        <v>153</v>
      </c>
      <c r="T5" s="45" t="s">
        <v>154</v>
      </c>
      <c r="U5" s="39">
        <v>2019</v>
      </c>
      <c r="V5" s="45" t="s">
        <v>155</v>
      </c>
      <c r="W5" s="45" t="s">
        <v>158</v>
      </c>
      <c r="X5" s="45" t="s">
        <v>159</v>
      </c>
      <c r="Y5" s="45" t="s">
        <v>162</v>
      </c>
      <c r="Z5" s="39">
        <v>2020</v>
      </c>
      <c r="AA5" s="45" t="s">
        <v>176</v>
      </c>
      <c r="AB5" s="45" t="s">
        <v>179</v>
      </c>
      <c r="AC5" s="45" t="s">
        <v>180</v>
      </c>
      <c r="AD5" s="45" t="s">
        <v>182</v>
      </c>
      <c r="AE5" s="39">
        <v>2021</v>
      </c>
      <c r="AF5" s="45" t="s">
        <v>186</v>
      </c>
      <c r="AG5" s="45" t="s">
        <v>193</v>
      </c>
      <c r="AH5" s="45" t="s">
        <v>199</v>
      </c>
      <c r="AI5" s="45" t="s">
        <v>205</v>
      </c>
      <c r="AJ5" s="39">
        <v>2022</v>
      </c>
    </row>
    <row r="6" spans="1:36" s="19" customFormat="1" x14ac:dyDescent="0.2">
      <c r="A6" s="17"/>
      <c r="B6" s="18"/>
      <c r="C6" s="18"/>
      <c r="D6" s="18"/>
      <c r="E6" s="18"/>
      <c r="F6" s="14"/>
      <c r="G6" s="18"/>
      <c r="H6" s="18"/>
      <c r="I6" s="18"/>
      <c r="J6" s="18"/>
      <c r="K6" s="14"/>
      <c r="L6" s="18"/>
      <c r="M6" s="18"/>
      <c r="N6" s="18"/>
      <c r="O6" s="18"/>
      <c r="P6" s="14"/>
      <c r="Q6" s="18"/>
      <c r="R6" s="18"/>
      <c r="S6" s="18"/>
      <c r="T6" s="18"/>
      <c r="U6" s="14"/>
      <c r="V6" s="18"/>
      <c r="W6" s="18"/>
      <c r="X6" s="18"/>
      <c r="Y6" s="18"/>
      <c r="Z6" s="14"/>
      <c r="AA6" s="18"/>
      <c r="AB6" s="18"/>
      <c r="AC6" s="18"/>
      <c r="AD6" s="18"/>
      <c r="AE6" s="14"/>
      <c r="AF6" s="18"/>
      <c r="AG6" s="18"/>
      <c r="AH6" s="18"/>
      <c r="AI6" s="18"/>
      <c r="AJ6" s="14"/>
    </row>
    <row r="7" spans="1:36" x14ac:dyDescent="0.2">
      <c r="A7" s="1" t="s">
        <v>0</v>
      </c>
      <c r="B7" s="72">
        <v>127896</v>
      </c>
      <c r="C7" s="72">
        <v>141495</v>
      </c>
      <c r="D7" s="72">
        <v>174027</v>
      </c>
      <c r="E7" s="72">
        <v>155681</v>
      </c>
      <c r="F7" s="73">
        <f>SUM(B7:E7)</f>
        <v>599099</v>
      </c>
      <c r="G7" s="72">
        <v>149681</v>
      </c>
      <c r="H7" s="72">
        <v>163229</v>
      </c>
      <c r="I7" s="72">
        <v>190441</v>
      </c>
      <c r="J7" s="72">
        <v>175244</v>
      </c>
      <c r="K7" s="73">
        <f>SUM(G7:J7)</f>
        <v>678595</v>
      </c>
      <c r="L7" s="72">
        <v>199897</v>
      </c>
      <c r="M7" s="72">
        <v>268233</v>
      </c>
      <c r="N7" s="72">
        <v>289199</v>
      </c>
      <c r="O7" s="72">
        <v>217250</v>
      </c>
      <c r="P7" s="73">
        <f>SUM(L7:O7)</f>
        <v>974579</v>
      </c>
      <c r="Q7" s="72">
        <v>181716</v>
      </c>
      <c r="R7" s="72">
        <v>215581</v>
      </c>
      <c r="S7" s="72">
        <v>226302</v>
      </c>
      <c r="T7" s="72">
        <v>203499</v>
      </c>
      <c r="U7" s="73">
        <f>SUM(Q7:T7)</f>
        <v>827098</v>
      </c>
      <c r="V7" s="72">
        <v>208880</v>
      </c>
      <c r="W7" s="72">
        <v>181555</v>
      </c>
      <c r="X7" s="72">
        <v>313046</v>
      </c>
      <c r="Y7" s="72">
        <v>337449</v>
      </c>
      <c r="Z7" s="73">
        <f>SUM(V7:Y7)</f>
        <v>1040930</v>
      </c>
      <c r="AA7" s="72">
        <v>354193</v>
      </c>
      <c r="AB7" s="72">
        <v>447506</v>
      </c>
      <c r="AC7" s="72">
        <v>287330</v>
      </c>
      <c r="AD7" s="72">
        <v>248406</v>
      </c>
      <c r="AE7" s="73">
        <f>SUM(AA7:AD7)</f>
        <v>1337435</v>
      </c>
      <c r="AF7" s="72">
        <v>411350</v>
      </c>
      <c r="AG7" s="72">
        <v>359597</v>
      </c>
      <c r="AH7" s="72">
        <v>306693</v>
      </c>
      <c r="AI7" s="72">
        <f>1330780-1077640</f>
        <v>253140</v>
      </c>
      <c r="AJ7" s="73">
        <f>SUM(AF7:AI7)</f>
        <v>1330780</v>
      </c>
    </row>
    <row r="8" spans="1:36" x14ac:dyDescent="0.2">
      <c r="A8" s="1" t="s">
        <v>1</v>
      </c>
      <c r="B8" s="3"/>
      <c r="C8" s="3"/>
      <c r="D8" s="3"/>
      <c r="E8" s="3"/>
      <c r="F8" s="20"/>
      <c r="G8" s="3"/>
      <c r="H8" s="3"/>
      <c r="I8" s="3"/>
      <c r="J8" s="3"/>
      <c r="K8" s="20"/>
      <c r="L8" s="3"/>
      <c r="M8" s="3"/>
      <c r="N8" s="3"/>
      <c r="O8" s="3"/>
      <c r="P8" s="20"/>
      <c r="Q8" s="3"/>
      <c r="R8" s="3"/>
      <c r="S8" s="3"/>
      <c r="T8" s="3"/>
      <c r="U8" s="20"/>
      <c r="V8" s="3"/>
      <c r="W8" s="3"/>
      <c r="X8" s="3"/>
      <c r="Y8" s="3"/>
      <c r="Z8" s="20"/>
      <c r="AA8" s="3"/>
      <c r="AB8" s="3"/>
      <c r="AC8" s="3"/>
      <c r="AD8" s="3"/>
      <c r="AE8" s="20"/>
      <c r="AF8" s="3"/>
      <c r="AG8" s="3"/>
      <c r="AH8" s="3"/>
      <c r="AI8" s="3"/>
      <c r="AJ8" s="20"/>
    </row>
    <row r="9" spans="1:36" x14ac:dyDescent="0.2">
      <c r="A9" s="4" t="s">
        <v>2</v>
      </c>
      <c r="B9" s="5">
        <f>109815-361</f>
        <v>109454</v>
      </c>
      <c r="C9" s="5">
        <f>113377-491</f>
        <v>112886</v>
      </c>
      <c r="D9" s="5">
        <f>122132-426</f>
        <v>121706</v>
      </c>
      <c r="E9" s="5">
        <f>116980-426</f>
        <v>116554</v>
      </c>
      <c r="F9" s="21">
        <f t="shared" ref="F9:F16" si="0">SUM(B9:E9)</f>
        <v>460600</v>
      </c>
      <c r="G9" s="5">
        <v>112498</v>
      </c>
      <c r="H9" s="5">
        <v>111356</v>
      </c>
      <c r="I9" s="5">
        <v>124727</v>
      </c>
      <c r="J9" s="5">
        <v>120812</v>
      </c>
      <c r="K9" s="21">
        <f t="shared" ref="K9:K16" si="1">SUM(G9:J9)</f>
        <v>469393</v>
      </c>
      <c r="L9" s="5">
        <v>139155</v>
      </c>
      <c r="M9" s="5">
        <v>180906</v>
      </c>
      <c r="N9" s="5">
        <v>195584</v>
      </c>
      <c r="O9" s="5">
        <v>192000</v>
      </c>
      <c r="P9" s="21">
        <f t="shared" ref="P9:P16" si="2">SUM(L9:O9)</f>
        <v>707645</v>
      </c>
      <c r="Q9" s="5">
        <v>154215</v>
      </c>
      <c r="R9" s="5">
        <v>175673</v>
      </c>
      <c r="S9" s="5">
        <v>182634</v>
      </c>
      <c r="T9" s="5">
        <v>169544</v>
      </c>
      <c r="U9" s="21">
        <f t="shared" ref="U9:U16" si="3">SUM(Q9:T9)</f>
        <v>682066</v>
      </c>
      <c r="V9" s="5">
        <v>172046</v>
      </c>
      <c r="W9" s="5">
        <v>149836</v>
      </c>
      <c r="X9" s="5">
        <v>182039</v>
      </c>
      <c r="Y9" s="5">
        <v>183860</v>
      </c>
      <c r="Z9" s="21">
        <f t="shared" ref="Z9:Z16" si="4">SUM(V9:Y9)</f>
        <v>687781</v>
      </c>
      <c r="AA9" s="5">
        <v>169302</v>
      </c>
      <c r="AB9" s="5">
        <v>177779</v>
      </c>
      <c r="AC9" s="5">
        <v>190602</v>
      </c>
      <c r="AD9" s="5">
        <v>178163</v>
      </c>
      <c r="AE9" s="21">
        <f>SUM(AA9:AD9)</f>
        <v>715846</v>
      </c>
      <c r="AF9" s="5">
        <v>179847</v>
      </c>
      <c r="AG9" s="5">
        <v>191334</v>
      </c>
      <c r="AH9" s="5">
        <v>220876</v>
      </c>
      <c r="AI9" s="5">
        <f>806822-592057</f>
        <v>214765</v>
      </c>
      <c r="AJ9" s="21">
        <f>SUM(AF9:AI9)</f>
        <v>806822</v>
      </c>
    </row>
    <row r="10" spans="1:36" x14ac:dyDescent="0.2">
      <c r="A10" s="4" t="s">
        <v>3</v>
      </c>
      <c r="B10" s="5">
        <f>13009-220-1735</f>
        <v>11054</v>
      </c>
      <c r="C10" s="5">
        <f>13824-802-1982</f>
        <v>11040</v>
      </c>
      <c r="D10" s="5">
        <f>12901-1859</f>
        <v>11042</v>
      </c>
      <c r="E10" s="5">
        <f>12985-1859</f>
        <v>11126</v>
      </c>
      <c r="F10" s="21">
        <f t="shared" si="0"/>
        <v>44262</v>
      </c>
      <c r="G10" s="5">
        <v>11368</v>
      </c>
      <c r="H10" s="5">
        <v>13079</v>
      </c>
      <c r="I10" s="5">
        <v>13240</v>
      </c>
      <c r="J10" s="5">
        <v>12309</v>
      </c>
      <c r="K10" s="21">
        <f t="shared" si="1"/>
        <v>49996</v>
      </c>
      <c r="L10" s="5">
        <v>13656</v>
      </c>
      <c r="M10" s="5">
        <v>16892</v>
      </c>
      <c r="N10" s="5">
        <v>14901</v>
      </c>
      <c r="O10" s="5">
        <v>14412</v>
      </c>
      <c r="P10" s="21">
        <f t="shared" si="2"/>
        <v>59861</v>
      </c>
      <c r="Q10" s="5">
        <v>16570</v>
      </c>
      <c r="R10" s="5">
        <v>14952</v>
      </c>
      <c r="S10" s="5">
        <v>12472</v>
      </c>
      <c r="T10" s="5">
        <v>13931</v>
      </c>
      <c r="U10" s="21">
        <f t="shared" si="3"/>
        <v>57925</v>
      </c>
      <c r="V10" s="5">
        <v>14207</v>
      </c>
      <c r="W10" s="5">
        <v>16811</v>
      </c>
      <c r="X10" s="5">
        <v>21046</v>
      </c>
      <c r="Y10" s="5">
        <v>20455</v>
      </c>
      <c r="Z10" s="21">
        <f t="shared" si="4"/>
        <v>72519</v>
      </c>
      <c r="AA10" s="5">
        <v>16758</v>
      </c>
      <c r="AB10" s="5">
        <v>19512</v>
      </c>
      <c r="AC10" s="5">
        <v>18512</v>
      </c>
      <c r="AD10" s="5">
        <v>18650</v>
      </c>
      <c r="AE10" s="21">
        <f t="shared" ref="AE10:AE16" si="5">SUM(AA10:AD10)</f>
        <v>73432</v>
      </c>
      <c r="AF10" s="5">
        <v>16294</v>
      </c>
      <c r="AG10" s="5">
        <v>20412</v>
      </c>
      <c r="AH10" s="5">
        <v>18878</v>
      </c>
      <c r="AI10" s="5">
        <f>76506-55584</f>
        <v>20922</v>
      </c>
      <c r="AJ10" s="21">
        <f t="shared" ref="AJ10:AJ16" si="6">SUM(AF10:AI10)</f>
        <v>76506</v>
      </c>
    </row>
    <row r="11" spans="1:36" x14ac:dyDescent="0.2">
      <c r="A11" s="89" t="s">
        <v>204</v>
      </c>
      <c r="B11" s="5"/>
      <c r="C11" s="5"/>
      <c r="D11" s="5"/>
      <c r="E11" s="5"/>
      <c r="F11" s="21"/>
      <c r="G11" s="5"/>
      <c r="H11" s="5"/>
      <c r="I11" s="5"/>
      <c r="J11" s="5"/>
      <c r="K11" s="21"/>
      <c r="L11" s="5"/>
      <c r="M11" s="5"/>
      <c r="N11" s="5"/>
      <c r="O11" s="5"/>
      <c r="P11" s="21"/>
      <c r="Q11" s="5"/>
      <c r="R11" s="5"/>
      <c r="S11" s="5"/>
      <c r="T11" s="5"/>
      <c r="U11" s="21"/>
      <c r="V11" s="5"/>
      <c r="W11" s="5"/>
      <c r="X11" s="5"/>
      <c r="Y11" s="5"/>
      <c r="Z11" s="21"/>
      <c r="AA11" s="5">
        <v>0</v>
      </c>
      <c r="AB11" s="5">
        <v>0</v>
      </c>
      <c r="AC11" s="5">
        <v>0</v>
      </c>
      <c r="AD11" s="5">
        <v>0</v>
      </c>
      <c r="AE11" s="21">
        <v>0</v>
      </c>
      <c r="AF11" s="5">
        <v>0</v>
      </c>
      <c r="AG11" s="5">
        <v>0</v>
      </c>
      <c r="AH11" s="5">
        <v>26007</v>
      </c>
      <c r="AI11" s="5">
        <f>27325-26007</f>
        <v>1318</v>
      </c>
      <c r="AJ11" s="21">
        <f t="shared" si="6"/>
        <v>27325</v>
      </c>
    </row>
    <row r="12" spans="1:36" ht="14.25" x14ac:dyDescent="0.2">
      <c r="A12" s="4" t="s">
        <v>172</v>
      </c>
      <c r="B12" s="5">
        <v>0</v>
      </c>
      <c r="C12" s="5">
        <v>0</v>
      </c>
      <c r="D12" s="5">
        <v>0</v>
      </c>
      <c r="E12" s="5">
        <v>0</v>
      </c>
      <c r="F12" s="21">
        <f t="shared" ref="F12" si="7">SUM(B12:E12)</f>
        <v>0</v>
      </c>
      <c r="G12" s="5">
        <v>0</v>
      </c>
      <c r="H12" s="5">
        <v>0</v>
      </c>
      <c r="I12" s="5">
        <v>0</v>
      </c>
      <c r="J12" s="5">
        <v>0</v>
      </c>
      <c r="K12" s="21">
        <f t="shared" ref="K12" si="8">SUM(G12:J12)</f>
        <v>0</v>
      </c>
      <c r="L12" s="5">
        <v>0</v>
      </c>
      <c r="M12" s="5">
        <v>0</v>
      </c>
      <c r="N12" s="5">
        <v>0</v>
      </c>
      <c r="O12" s="5">
        <v>0</v>
      </c>
      <c r="P12" s="21">
        <f t="shared" ref="P12" si="9">SUM(L12:O12)</f>
        <v>0</v>
      </c>
      <c r="Q12" s="5">
        <v>-9176</v>
      </c>
      <c r="R12" s="5">
        <v>0</v>
      </c>
      <c r="S12" s="5">
        <v>0</v>
      </c>
      <c r="T12" s="5">
        <v>0</v>
      </c>
      <c r="U12" s="21">
        <f t="shared" si="3"/>
        <v>-9176</v>
      </c>
      <c r="V12" s="5">
        <v>0</v>
      </c>
      <c r="W12" s="5">
        <v>0</v>
      </c>
      <c r="X12" s="5">
        <v>0</v>
      </c>
      <c r="Y12" s="5">
        <v>0</v>
      </c>
      <c r="Z12" s="21">
        <f t="shared" si="4"/>
        <v>0</v>
      </c>
      <c r="AA12" s="5">
        <v>0</v>
      </c>
      <c r="AB12" s="5">
        <v>0</v>
      </c>
      <c r="AC12" s="5">
        <v>0</v>
      </c>
      <c r="AD12" s="5">
        <v>0</v>
      </c>
      <c r="AE12" s="21">
        <f t="shared" si="5"/>
        <v>0</v>
      </c>
      <c r="AF12" s="5">
        <v>0</v>
      </c>
      <c r="AG12" s="5">
        <v>0</v>
      </c>
      <c r="AH12" s="5">
        <v>0</v>
      </c>
      <c r="AI12" s="5">
        <v>0</v>
      </c>
      <c r="AJ12" s="21">
        <f t="shared" si="6"/>
        <v>0</v>
      </c>
    </row>
    <row r="13" spans="1:36" x14ac:dyDescent="0.2">
      <c r="A13" s="4" t="s">
        <v>4</v>
      </c>
      <c r="B13" s="5">
        <v>0</v>
      </c>
      <c r="C13" s="5">
        <v>0</v>
      </c>
      <c r="D13" s="5">
        <v>0</v>
      </c>
      <c r="E13" s="5">
        <v>0</v>
      </c>
      <c r="F13" s="21">
        <f t="shared" si="0"/>
        <v>0</v>
      </c>
      <c r="G13" s="5">
        <v>0</v>
      </c>
      <c r="H13" s="5">
        <v>0</v>
      </c>
      <c r="I13" s="5">
        <v>27</v>
      </c>
      <c r="J13" s="5">
        <v>3382</v>
      </c>
      <c r="K13" s="21">
        <f t="shared" si="1"/>
        <v>3409</v>
      </c>
      <c r="L13" s="5">
        <v>19255</v>
      </c>
      <c r="M13" s="5">
        <v>1018</v>
      </c>
      <c r="N13" s="5">
        <v>972</v>
      </c>
      <c r="O13" s="5">
        <v>874</v>
      </c>
      <c r="P13" s="21">
        <f t="shared" si="2"/>
        <v>22119</v>
      </c>
      <c r="Q13" s="5">
        <v>0</v>
      </c>
      <c r="R13" s="5">
        <v>0</v>
      </c>
      <c r="S13" s="5">
        <v>0</v>
      </c>
      <c r="T13" s="5">
        <v>0</v>
      </c>
      <c r="U13" s="21">
        <f t="shared" si="3"/>
        <v>0</v>
      </c>
      <c r="V13" s="5">
        <v>0</v>
      </c>
      <c r="W13" s="5">
        <v>0</v>
      </c>
      <c r="X13" s="5">
        <v>0</v>
      </c>
      <c r="Y13" s="5">
        <v>0</v>
      </c>
      <c r="Z13" s="21">
        <f t="shared" si="4"/>
        <v>0</v>
      </c>
      <c r="AA13" s="5">
        <v>0</v>
      </c>
      <c r="AB13" s="5">
        <v>0</v>
      </c>
      <c r="AC13" s="5">
        <v>0</v>
      </c>
      <c r="AD13" s="5">
        <v>0</v>
      </c>
      <c r="AE13" s="21">
        <f t="shared" si="5"/>
        <v>0</v>
      </c>
      <c r="AF13" s="5">
        <v>0</v>
      </c>
      <c r="AG13" s="5">
        <v>0</v>
      </c>
      <c r="AH13" s="5">
        <v>0</v>
      </c>
      <c r="AI13" s="5">
        <v>0</v>
      </c>
      <c r="AJ13" s="21">
        <f t="shared" si="6"/>
        <v>0</v>
      </c>
    </row>
    <row r="14" spans="1:36" x14ac:dyDescent="0.2">
      <c r="A14" s="4" t="s">
        <v>209</v>
      </c>
      <c r="B14" s="5">
        <v>220</v>
      </c>
      <c r="C14" s="5">
        <v>802</v>
      </c>
      <c r="D14" s="5">
        <v>0</v>
      </c>
      <c r="E14" s="5">
        <v>0</v>
      </c>
      <c r="F14" s="21">
        <f t="shared" si="0"/>
        <v>1022</v>
      </c>
      <c r="G14" s="5">
        <v>0</v>
      </c>
      <c r="H14" s="5">
        <v>0</v>
      </c>
      <c r="I14" s="5">
        <v>4978</v>
      </c>
      <c r="J14" s="5">
        <v>0</v>
      </c>
      <c r="K14" s="21">
        <f t="shared" si="1"/>
        <v>4978</v>
      </c>
      <c r="L14" s="5">
        <v>0</v>
      </c>
      <c r="M14" s="5">
        <v>0</v>
      </c>
      <c r="N14" s="5">
        <v>0</v>
      </c>
      <c r="O14" s="5">
        <v>0</v>
      </c>
      <c r="P14" s="21">
        <f t="shared" si="2"/>
        <v>0</v>
      </c>
      <c r="Q14" s="5">
        <v>0</v>
      </c>
      <c r="R14" s="5">
        <v>0</v>
      </c>
      <c r="S14" s="5">
        <v>0</v>
      </c>
      <c r="T14" s="5">
        <v>0</v>
      </c>
      <c r="U14" s="21">
        <f t="shared" si="3"/>
        <v>0</v>
      </c>
      <c r="V14" s="5">
        <v>0</v>
      </c>
      <c r="W14" s="5">
        <v>0</v>
      </c>
      <c r="X14" s="5">
        <v>0</v>
      </c>
      <c r="Y14" s="5">
        <v>0</v>
      </c>
      <c r="Z14" s="21">
        <f t="shared" si="4"/>
        <v>0</v>
      </c>
      <c r="AA14" s="5">
        <v>0</v>
      </c>
      <c r="AB14" s="5">
        <v>0</v>
      </c>
      <c r="AC14" s="5">
        <v>0</v>
      </c>
      <c r="AD14" s="5">
        <v>0</v>
      </c>
      <c r="AE14" s="21">
        <f t="shared" si="5"/>
        <v>0</v>
      </c>
      <c r="AF14" s="5">
        <v>0</v>
      </c>
      <c r="AG14" s="5">
        <v>0</v>
      </c>
      <c r="AH14" s="5">
        <v>0</v>
      </c>
      <c r="AI14" s="5">
        <v>5550</v>
      </c>
      <c r="AJ14" s="21">
        <f t="shared" si="6"/>
        <v>5550</v>
      </c>
    </row>
    <row r="15" spans="1:36" x14ac:dyDescent="0.2">
      <c r="A15" s="4" t="s">
        <v>133</v>
      </c>
      <c r="B15" s="5">
        <v>0</v>
      </c>
      <c r="C15" s="5">
        <v>0</v>
      </c>
      <c r="D15" s="5">
        <v>0</v>
      </c>
      <c r="E15" s="5">
        <v>0</v>
      </c>
      <c r="F15" s="21">
        <f t="shared" si="0"/>
        <v>0</v>
      </c>
      <c r="G15" s="5">
        <v>0</v>
      </c>
      <c r="H15" s="5">
        <v>-3265</v>
      </c>
      <c r="I15" s="5">
        <v>2080</v>
      </c>
      <c r="J15" s="5">
        <v>97</v>
      </c>
      <c r="K15" s="21">
        <f t="shared" si="1"/>
        <v>-1088</v>
      </c>
      <c r="L15" s="5">
        <v>0</v>
      </c>
      <c r="M15" s="5">
        <v>0</v>
      </c>
      <c r="N15" s="5">
        <v>0</v>
      </c>
      <c r="O15" s="5">
        <v>0</v>
      </c>
      <c r="P15" s="21">
        <f t="shared" si="2"/>
        <v>0</v>
      </c>
      <c r="Q15" s="5">
        <v>0</v>
      </c>
      <c r="R15" s="5">
        <v>0</v>
      </c>
      <c r="S15" s="5">
        <v>0</v>
      </c>
      <c r="T15" s="5">
        <v>0</v>
      </c>
      <c r="U15" s="21">
        <f t="shared" si="3"/>
        <v>0</v>
      </c>
      <c r="V15" s="5">
        <v>0</v>
      </c>
      <c r="W15" s="5">
        <v>0</v>
      </c>
      <c r="X15" s="5">
        <v>0</v>
      </c>
      <c r="Y15" s="5">
        <v>0</v>
      </c>
      <c r="Z15" s="21">
        <f t="shared" si="4"/>
        <v>0</v>
      </c>
      <c r="AA15" s="5">
        <v>0</v>
      </c>
      <c r="AB15" s="5">
        <v>0</v>
      </c>
      <c r="AC15" s="5">
        <v>0</v>
      </c>
      <c r="AD15" s="5">
        <v>0</v>
      </c>
      <c r="AE15" s="21">
        <f t="shared" si="5"/>
        <v>0</v>
      </c>
      <c r="AF15" s="5">
        <v>0</v>
      </c>
      <c r="AG15" s="5">
        <v>0</v>
      </c>
      <c r="AH15" s="5">
        <v>0</v>
      </c>
      <c r="AI15" s="5">
        <v>0</v>
      </c>
      <c r="AJ15" s="21">
        <f t="shared" si="6"/>
        <v>0</v>
      </c>
    </row>
    <row r="16" spans="1:36" x14ac:dyDescent="0.2">
      <c r="A16" s="4" t="s">
        <v>5</v>
      </c>
      <c r="B16" s="5">
        <v>0</v>
      </c>
      <c r="C16" s="5">
        <v>48522</v>
      </c>
      <c r="D16" s="5">
        <v>0</v>
      </c>
      <c r="E16" s="5">
        <v>0</v>
      </c>
      <c r="F16" s="21">
        <f t="shared" si="0"/>
        <v>48522</v>
      </c>
      <c r="G16" s="5">
        <v>0</v>
      </c>
      <c r="H16" s="5">
        <v>0</v>
      </c>
      <c r="I16" s="5">
        <v>0</v>
      </c>
      <c r="J16" s="5">
        <v>0</v>
      </c>
      <c r="K16" s="21">
        <f t="shared" si="1"/>
        <v>0</v>
      </c>
      <c r="L16" s="5">
        <v>0</v>
      </c>
      <c r="M16" s="5">
        <v>0</v>
      </c>
      <c r="N16" s="5">
        <v>0</v>
      </c>
      <c r="O16" s="5">
        <v>0</v>
      </c>
      <c r="P16" s="21">
        <f t="shared" si="2"/>
        <v>0</v>
      </c>
      <c r="Q16" s="5">
        <v>0</v>
      </c>
      <c r="R16" s="5">
        <v>0</v>
      </c>
      <c r="S16" s="5">
        <v>0</v>
      </c>
      <c r="T16" s="5">
        <v>0</v>
      </c>
      <c r="U16" s="21">
        <f t="shared" si="3"/>
        <v>0</v>
      </c>
      <c r="V16" s="5">
        <v>0</v>
      </c>
      <c r="W16" s="5">
        <v>0</v>
      </c>
      <c r="X16" s="5">
        <v>0</v>
      </c>
      <c r="Y16" s="5">
        <v>0</v>
      </c>
      <c r="Z16" s="21">
        <f t="shared" si="4"/>
        <v>0</v>
      </c>
      <c r="AA16" s="5">
        <v>0</v>
      </c>
      <c r="AB16" s="5">
        <v>0</v>
      </c>
      <c r="AC16" s="5">
        <v>0</v>
      </c>
      <c r="AD16" s="5">
        <v>0</v>
      </c>
      <c r="AE16" s="21">
        <f t="shared" si="5"/>
        <v>0</v>
      </c>
      <c r="AF16" s="5">
        <v>0</v>
      </c>
      <c r="AG16" s="5">
        <v>0</v>
      </c>
      <c r="AH16" s="5">
        <v>0</v>
      </c>
      <c r="AI16" s="5">
        <v>0</v>
      </c>
      <c r="AJ16" s="21">
        <f t="shared" si="6"/>
        <v>0</v>
      </c>
    </row>
    <row r="17" spans="1:36" ht="14.25" x14ac:dyDescent="0.2">
      <c r="A17" s="1" t="s">
        <v>195</v>
      </c>
      <c r="B17" s="5">
        <v>0</v>
      </c>
      <c r="C17" s="5">
        <v>0</v>
      </c>
      <c r="D17" s="5">
        <v>0</v>
      </c>
      <c r="E17" s="5">
        <v>0</v>
      </c>
      <c r="F17" s="21">
        <f>SUM(B17:E17)</f>
        <v>0</v>
      </c>
      <c r="G17" s="5">
        <v>0</v>
      </c>
      <c r="H17" s="5">
        <v>0</v>
      </c>
      <c r="I17" s="5">
        <v>0</v>
      </c>
      <c r="J17" s="5">
        <v>0</v>
      </c>
      <c r="K17" s="21">
        <f>SUM(G17:J17)</f>
        <v>0</v>
      </c>
      <c r="L17" s="5">
        <v>0</v>
      </c>
      <c r="M17" s="5">
        <v>0</v>
      </c>
      <c r="N17" s="5">
        <v>0</v>
      </c>
      <c r="O17" s="5">
        <v>0</v>
      </c>
      <c r="P17" s="21">
        <f>SUM(L17:O17)</f>
        <v>0</v>
      </c>
      <c r="Q17" s="5">
        <v>0</v>
      </c>
      <c r="R17" s="5">
        <v>0</v>
      </c>
      <c r="S17" s="5">
        <v>0</v>
      </c>
      <c r="T17" s="5">
        <v>0</v>
      </c>
      <c r="U17" s="21">
        <f>SUM(Q17:T17)</f>
        <v>0</v>
      </c>
      <c r="V17" s="5">
        <v>0</v>
      </c>
      <c r="W17" s="5">
        <v>0</v>
      </c>
      <c r="X17" s="5">
        <v>0</v>
      </c>
      <c r="Y17" s="5">
        <v>0</v>
      </c>
      <c r="Z17" s="21">
        <f>SUM(V17:Y17)</f>
        <v>0</v>
      </c>
      <c r="AA17" s="5">
        <v>0</v>
      </c>
      <c r="AB17" s="5">
        <v>0</v>
      </c>
      <c r="AC17" s="5">
        <v>-4394</v>
      </c>
      <c r="AD17" s="5">
        <v>1033</v>
      </c>
      <c r="AE17" s="21">
        <f>SUM(AA17:AD17)</f>
        <v>-3361</v>
      </c>
      <c r="AF17" s="5">
        <v>276</v>
      </c>
      <c r="AG17" s="5">
        <v>-9868</v>
      </c>
      <c r="AH17" s="5">
        <v>-24913</v>
      </c>
      <c r="AI17" s="5">
        <v>0</v>
      </c>
      <c r="AJ17" s="21">
        <f>SUM(AF17:AI17)</f>
        <v>-34505</v>
      </c>
    </row>
    <row r="18" spans="1:36" x14ac:dyDescent="0.2">
      <c r="A18" s="7"/>
      <c r="B18" s="8">
        <f t="shared" ref="B18:AB18" si="10">SUM(B9:B17)</f>
        <v>120728</v>
      </c>
      <c r="C18" s="8">
        <f t="shared" si="10"/>
        <v>173250</v>
      </c>
      <c r="D18" s="8">
        <f t="shared" si="10"/>
        <v>132748</v>
      </c>
      <c r="E18" s="8">
        <f t="shared" si="10"/>
        <v>127680</v>
      </c>
      <c r="F18" s="23">
        <f t="shared" si="10"/>
        <v>554406</v>
      </c>
      <c r="G18" s="8">
        <f t="shared" si="10"/>
        <v>123866</v>
      </c>
      <c r="H18" s="8">
        <f t="shared" si="10"/>
        <v>121170</v>
      </c>
      <c r="I18" s="8">
        <f t="shared" si="10"/>
        <v>145052</v>
      </c>
      <c r="J18" s="8">
        <f t="shared" si="10"/>
        <v>136600</v>
      </c>
      <c r="K18" s="23">
        <f t="shared" si="10"/>
        <v>526688</v>
      </c>
      <c r="L18" s="8">
        <f t="shared" si="10"/>
        <v>172066</v>
      </c>
      <c r="M18" s="8">
        <f t="shared" si="10"/>
        <v>198816</v>
      </c>
      <c r="N18" s="8">
        <f t="shared" si="10"/>
        <v>211457</v>
      </c>
      <c r="O18" s="8">
        <f t="shared" si="10"/>
        <v>207286</v>
      </c>
      <c r="P18" s="23">
        <f t="shared" si="10"/>
        <v>789625</v>
      </c>
      <c r="Q18" s="8">
        <f t="shared" si="10"/>
        <v>161609</v>
      </c>
      <c r="R18" s="8">
        <f t="shared" si="10"/>
        <v>190625</v>
      </c>
      <c r="S18" s="8">
        <f t="shared" si="10"/>
        <v>195106</v>
      </c>
      <c r="T18" s="8">
        <f t="shared" si="10"/>
        <v>183475</v>
      </c>
      <c r="U18" s="23">
        <f t="shared" si="10"/>
        <v>730815</v>
      </c>
      <c r="V18" s="8">
        <f t="shared" si="10"/>
        <v>186253</v>
      </c>
      <c r="W18" s="8">
        <f t="shared" si="10"/>
        <v>166647</v>
      </c>
      <c r="X18" s="8">
        <f t="shared" si="10"/>
        <v>203085</v>
      </c>
      <c r="Y18" s="8">
        <f t="shared" si="10"/>
        <v>204315</v>
      </c>
      <c r="Z18" s="23">
        <f t="shared" si="10"/>
        <v>760300</v>
      </c>
      <c r="AA18" s="8">
        <f t="shared" si="10"/>
        <v>186060</v>
      </c>
      <c r="AB18" s="8">
        <f t="shared" si="10"/>
        <v>197291</v>
      </c>
      <c r="AC18" s="8">
        <f t="shared" ref="AC18:AI18" si="11">SUM(AC9:AC17)</f>
        <v>204720</v>
      </c>
      <c r="AD18" s="8">
        <f t="shared" si="11"/>
        <v>197846</v>
      </c>
      <c r="AE18" s="23">
        <f t="shared" si="11"/>
        <v>785917</v>
      </c>
      <c r="AF18" s="8">
        <f t="shared" si="11"/>
        <v>196417</v>
      </c>
      <c r="AG18" s="8">
        <f t="shared" si="11"/>
        <v>201878</v>
      </c>
      <c r="AH18" s="8">
        <f t="shared" si="11"/>
        <v>240848</v>
      </c>
      <c r="AI18" s="8">
        <f t="shared" si="11"/>
        <v>242555</v>
      </c>
      <c r="AJ18" s="23">
        <f>SUM(AJ9:AJ17)</f>
        <v>881698</v>
      </c>
    </row>
    <row r="19" spans="1:36" x14ac:dyDescent="0.2">
      <c r="A19" s="1" t="s">
        <v>123</v>
      </c>
      <c r="B19" s="9">
        <f t="shared" ref="B19:AC19" si="12">B7-B18</f>
        <v>7168</v>
      </c>
      <c r="C19" s="9">
        <f t="shared" si="12"/>
        <v>-31755</v>
      </c>
      <c r="D19" s="9">
        <f t="shared" si="12"/>
        <v>41279</v>
      </c>
      <c r="E19" s="9">
        <f t="shared" si="12"/>
        <v>28001</v>
      </c>
      <c r="F19" s="24">
        <f t="shared" si="12"/>
        <v>44693</v>
      </c>
      <c r="G19" s="9">
        <f t="shared" si="12"/>
        <v>25815</v>
      </c>
      <c r="H19" s="9">
        <f t="shared" si="12"/>
        <v>42059</v>
      </c>
      <c r="I19" s="9">
        <f t="shared" si="12"/>
        <v>45389</v>
      </c>
      <c r="J19" s="9">
        <f t="shared" si="12"/>
        <v>38644</v>
      </c>
      <c r="K19" s="24">
        <f t="shared" si="12"/>
        <v>151907</v>
      </c>
      <c r="L19" s="9">
        <f t="shared" si="12"/>
        <v>27831</v>
      </c>
      <c r="M19" s="9">
        <f t="shared" si="12"/>
        <v>69417</v>
      </c>
      <c r="N19" s="9">
        <f t="shared" si="12"/>
        <v>77742</v>
      </c>
      <c r="O19" s="9">
        <f t="shared" si="12"/>
        <v>9964</v>
      </c>
      <c r="P19" s="24">
        <f t="shared" si="12"/>
        <v>184954</v>
      </c>
      <c r="Q19" s="9">
        <f t="shared" si="12"/>
        <v>20107</v>
      </c>
      <c r="R19" s="9">
        <f t="shared" si="12"/>
        <v>24956</v>
      </c>
      <c r="S19" s="9">
        <f t="shared" si="12"/>
        <v>31196</v>
      </c>
      <c r="T19" s="9">
        <f t="shared" si="12"/>
        <v>20024</v>
      </c>
      <c r="U19" s="24">
        <f t="shared" si="12"/>
        <v>96283</v>
      </c>
      <c r="V19" s="9">
        <f t="shared" si="12"/>
        <v>22627</v>
      </c>
      <c r="W19" s="9">
        <f t="shared" si="12"/>
        <v>14908</v>
      </c>
      <c r="X19" s="9">
        <f t="shared" si="12"/>
        <v>109961</v>
      </c>
      <c r="Y19" s="9">
        <f t="shared" si="12"/>
        <v>133134</v>
      </c>
      <c r="Z19" s="24">
        <f t="shared" si="12"/>
        <v>280630</v>
      </c>
      <c r="AA19" s="9">
        <f t="shared" si="12"/>
        <v>168133</v>
      </c>
      <c r="AB19" s="9">
        <f t="shared" si="12"/>
        <v>250215</v>
      </c>
      <c r="AC19" s="9">
        <f t="shared" si="12"/>
        <v>82610</v>
      </c>
      <c r="AD19" s="9">
        <f t="shared" ref="AD19:AE19" si="13">AD7-AD18</f>
        <v>50560</v>
      </c>
      <c r="AE19" s="24">
        <f t="shared" si="13"/>
        <v>551518</v>
      </c>
      <c r="AF19" s="9">
        <f t="shared" ref="AF19:AG19" si="14">AF7-AF18</f>
        <v>214933</v>
      </c>
      <c r="AG19" s="9">
        <f t="shared" si="14"/>
        <v>157719</v>
      </c>
      <c r="AH19" s="9">
        <f>AH7-AH18</f>
        <v>65845</v>
      </c>
      <c r="AI19" s="9">
        <f>AI7-AI18</f>
        <v>10585</v>
      </c>
      <c r="AJ19" s="24">
        <f t="shared" ref="AJ19" si="15">AJ7-AJ18</f>
        <v>449082</v>
      </c>
    </row>
    <row r="20" spans="1:36" x14ac:dyDescent="0.2">
      <c r="A20" s="1" t="s">
        <v>6</v>
      </c>
      <c r="B20" s="5">
        <v>-6025</v>
      </c>
      <c r="C20" s="5">
        <v>-8206</v>
      </c>
      <c r="D20" s="5">
        <v>-7786</v>
      </c>
      <c r="E20" s="5">
        <v>-6924</v>
      </c>
      <c r="F20" s="21">
        <f t="shared" ref="F20:F23" si="16">SUM(B20:E20)</f>
        <v>-28941</v>
      </c>
      <c r="G20" s="5">
        <v>-4970</v>
      </c>
      <c r="H20" s="5">
        <v>-7348</v>
      </c>
      <c r="I20" s="5">
        <v>-7336</v>
      </c>
      <c r="J20" s="5">
        <v>-7395</v>
      </c>
      <c r="K20" s="21">
        <f t="shared" ref="K20:K23" si="17">SUM(G20:J20)</f>
        <v>-27049</v>
      </c>
      <c r="L20" s="5">
        <v>-5660</v>
      </c>
      <c r="M20" s="5">
        <v>-9356</v>
      </c>
      <c r="N20" s="5">
        <v>-10109</v>
      </c>
      <c r="O20" s="5">
        <v>-10102</v>
      </c>
      <c r="P20" s="21">
        <f>SUM(L20:O20)</f>
        <v>-35227</v>
      </c>
      <c r="Q20" s="5">
        <v>-5464</v>
      </c>
      <c r="R20" s="5">
        <v>-7882</v>
      </c>
      <c r="S20" s="5">
        <v>-8475</v>
      </c>
      <c r="T20" s="5">
        <v>-8540</v>
      </c>
      <c r="U20" s="21">
        <f>SUM(Q20:T20)</f>
        <v>-30361</v>
      </c>
      <c r="V20" s="5">
        <v>-3698</v>
      </c>
      <c r="W20" s="5">
        <v>-8339</v>
      </c>
      <c r="X20" s="5">
        <v>-8557</v>
      </c>
      <c r="Y20" s="5">
        <v>-8869</v>
      </c>
      <c r="Z20" s="21">
        <f>SUM(V20:Y20)</f>
        <v>-29463</v>
      </c>
      <c r="AA20" s="5">
        <v>-3574</v>
      </c>
      <c r="AB20" s="5">
        <v>-8199</v>
      </c>
      <c r="AC20" s="5">
        <v>-8641</v>
      </c>
      <c r="AD20" s="5">
        <v>-8861</v>
      </c>
      <c r="AE20" s="21">
        <f>SUM(AA20:AD20)</f>
        <v>-29275</v>
      </c>
      <c r="AF20" s="5">
        <v>-2894</v>
      </c>
      <c r="AG20" s="5">
        <v>-7419</v>
      </c>
      <c r="AH20" s="5">
        <v>-8280</v>
      </c>
      <c r="AI20" s="5">
        <f>-27400+18593</f>
        <v>-8807</v>
      </c>
      <c r="AJ20" s="21">
        <f>SUM(AF20:AI20)</f>
        <v>-27400</v>
      </c>
    </row>
    <row r="21" spans="1:36" ht="14.25" x14ac:dyDescent="0.2">
      <c r="A21" s="1" t="s">
        <v>174</v>
      </c>
      <c r="B21" s="5">
        <v>0</v>
      </c>
      <c r="C21" s="5">
        <v>0</v>
      </c>
      <c r="D21" s="5">
        <v>0</v>
      </c>
      <c r="E21" s="5">
        <v>0</v>
      </c>
      <c r="F21" s="21">
        <f t="shared" ref="F21:F22" si="18">SUM(B21:E21)</f>
        <v>0</v>
      </c>
      <c r="G21" s="5">
        <v>0</v>
      </c>
      <c r="H21" s="5">
        <v>0</v>
      </c>
      <c r="I21" s="5">
        <v>0</v>
      </c>
      <c r="J21" s="5">
        <v>0</v>
      </c>
      <c r="K21" s="21">
        <f t="shared" ref="K21:K22" si="19">SUM(G21:J21)</f>
        <v>0</v>
      </c>
      <c r="L21" s="5">
        <v>0</v>
      </c>
      <c r="M21" s="5">
        <v>0</v>
      </c>
      <c r="N21" s="5">
        <v>0</v>
      </c>
      <c r="O21" s="5">
        <v>0</v>
      </c>
      <c r="P21" s="21">
        <f>SUM(L21:O21)</f>
        <v>0</v>
      </c>
      <c r="Q21" s="5">
        <v>-5512</v>
      </c>
      <c r="R21" s="5">
        <v>0</v>
      </c>
      <c r="S21" s="5">
        <v>0</v>
      </c>
      <c r="T21" s="5">
        <v>0</v>
      </c>
      <c r="U21" s="21">
        <f>SUM(Q21:T21)</f>
        <v>-5512</v>
      </c>
      <c r="V21" s="5">
        <v>0</v>
      </c>
      <c r="W21" s="5">
        <v>0</v>
      </c>
      <c r="X21" s="5">
        <v>0</v>
      </c>
      <c r="Y21" s="5">
        <v>0</v>
      </c>
      <c r="Z21" s="21">
        <f>SUM(V21:Y21)</f>
        <v>0</v>
      </c>
      <c r="AA21" s="5">
        <v>0</v>
      </c>
      <c r="AB21" s="5">
        <v>0</v>
      </c>
      <c r="AC21" s="5">
        <v>0</v>
      </c>
      <c r="AD21" s="5">
        <v>0</v>
      </c>
      <c r="AE21" s="21">
        <f>SUM(AA21:AD21)</f>
        <v>0</v>
      </c>
      <c r="AF21" s="5">
        <v>0</v>
      </c>
      <c r="AG21" s="5">
        <v>0</v>
      </c>
      <c r="AH21" s="5">
        <v>0</v>
      </c>
      <c r="AI21" s="5">
        <v>0</v>
      </c>
      <c r="AJ21" s="21">
        <f>SUM(AF21:AI21)</f>
        <v>0</v>
      </c>
    </row>
    <row r="22" spans="1:36" ht="14.25" x14ac:dyDescent="0.2">
      <c r="A22" s="1" t="s">
        <v>188</v>
      </c>
      <c r="B22" s="5">
        <v>0</v>
      </c>
      <c r="C22" s="5">
        <v>0</v>
      </c>
      <c r="D22" s="5">
        <v>0</v>
      </c>
      <c r="E22" s="5">
        <v>0</v>
      </c>
      <c r="F22" s="21">
        <f t="shared" si="18"/>
        <v>0</v>
      </c>
      <c r="G22" s="5">
        <v>0</v>
      </c>
      <c r="H22" s="5">
        <v>0</v>
      </c>
      <c r="I22" s="5">
        <v>0</v>
      </c>
      <c r="J22" s="5">
        <v>0</v>
      </c>
      <c r="K22" s="21">
        <f t="shared" si="19"/>
        <v>0</v>
      </c>
      <c r="L22" s="5">
        <v>0</v>
      </c>
      <c r="M22" s="5">
        <v>0</v>
      </c>
      <c r="N22" s="5">
        <v>0</v>
      </c>
      <c r="O22" s="5">
        <v>0</v>
      </c>
      <c r="P22" s="21">
        <f>SUM(L22:O22)</f>
        <v>0</v>
      </c>
      <c r="Q22" s="5">
        <v>0</v>
      </c>
      <c r="R22" s="5">
        <v>0</v>
      </c>
      <c r="S22" s="5">
        <v>0</v>
      </c>
      <c r="T22" s="5">
        <v>0</v>
      </c>
      <c r="U22" s="21">
        <f>SUM(Q22:T22)</f>
        <v>0</v>
      </c>
      <c r="V22" s="5">
        <v>-42988</v>
      </c>
      <c r="W22" s="5">
        <v>0</v>
      </c>
      <c r="X22" s="5">
        <v>0</v>
      </c>
      <c r="Y22" s="5">
        <v>0</v>
      </c>
      <c r="Z22" s="21">
        <f>SUM(V22:Y22)</f>
        <v>-42988</v>
      </c>
      <c r="AA22" s="5">
        <v>0</v>
      </c>
      <c r="AB22" s="5">
        <v>0</v>
      </c>
      <c r="AC22" s="5">
        <v>0</v>
      </c>
      <c r="AD22" s="5">
        <v>0</v>
      </c>
      <c r="AE22" s="21">
        <f>SUM(AA22:AD22)</f>
        <v>0</v>
      </c>
      <c r="AF22" s="5">
        <v>-14165</v>
      </c>
      <c r="AG22" s="5">
        <v>0</v>
      </c>
      <c r="AH22" s="5">
        <v>0</v>
      </c>
      <c r="AI22" s="5">
        <v>0</v>
      </c>
      <c r="AJ22" s="21">
        <f>SUM(AF22:AI22)</f>
        <v>-14165</v>
      </c>
    </row>
    <row r="23" spans="1:36" x14ac:dyDescent="0.2">
      <c r="A23" s="1" t="s">
        <v>7</v>
      </c>
      <c r="B23" s="6">
        <f>-2096</f>
        <v>-2096</v>
      </c>
      <c r="C23" s="6">
        <f>-2473</f>
        <v>-2473</v>
      </c>
      <c r="D23" s="6">
        <f>-2285</f>
        <v>-2285</v>
      </c>
      <c r="E23" s="6">
        <f>-2285</f>
        <v>-2285</v>
      </c>
      <c r="F23" s="22">
        <f t="shared" si="16"/>
        <v>-9139</v>
      </c>
      <c r="G23" s="6">
        <v>-1906</v>
      </c>
      <c r="H23" s="6">
        <v>-1286</v>
      </c>
      <c r="I23" s="6">
        <v>-1596</v>
      </c>
      <c r="J23" s="6">
        <v>-1596</v>
      </c>
      <c r="K23" s="22">
        <f t="shared" si="17"/>
        <v>-6384</v>
      </c>
      <c r="L23" s="6">
        <v>-1857</v>
      </c>
      <c r="M23" s="6">
        <v>-1908</v>
      </c>
      <c r="N23" s="6">
        <v>-1942</v>
      </c>
      <c r="O23" s="6">
        <v>-1941</v>
      </c>
      <c r="P23" s="22">
        <f t="shared" ref="P23" si="20">SUM(L23:O23)</f>
        <v>-7648</v>
      </c>
      <c r="Q23" s="6">
        <v>-980</v>
      </c>
      <c r="R23" s="6">
        <v>-889</v>
      </c>
      <c r="S23" s="6">
        <v>-935</v>
      </c>
      <c r="T23" s="6">
        <v>-935</v>
      </c>
      <c r="U23" s="22">
        <f t="shared" ref="U23" si="21">SUM(Q23:T23)</f>
        <v>-3739</v>
      </c>
      <c r="V23" s="6">
        <v>-3635</v>
      </c>
      <c r="W23" s="6">
        <v>-3478</v>
      </c>
      <c r="X23" s="6">
        <v>-3557</v>
      </c>
      <c r="Y23" s="6">
        <v>-3556</v>
      </c>
      <c r="Z23" s="22">
        <f t="shared" ref="Z23" si="22">SUM(V23:Y23)</f>
        <v>-14226</v>
      </c>
      <c r="AA23" s="5">
        <v>-3414</v>
      </c>
      <c r="AB23" s="5">
        <v>-3271</v>
      </c>
      <c r="AC23" s="5">
        <v>-3271</v>
      </c>
      <c r="AD23" s="5">
        <v>-3271</v>
      </c>
      <c r="AE23" s="21">
        <f>SUM(AA23:AD23)</f>
        <v>-13227</v>
      </c>
      <c r="AF23" s="5">
        <v>-1929</v>
      </c>
      <c r="AG23" s="5">
        <v>-1809</v>
      </c>
      <c r="AH23" s="5">
        <v>-1808</v>
      </c>
      <c r="AI23" s="5">
        <f>-8138+5546</f>
        <v>-2592</v>
      </c>
      <c r="AJ23" s="21">
        <f>SUM(AF23:AI23)</f>
        <v>-8138</v>
      </c>
    </row>
    <row r="24" spans="1:36" x14ac:dyDescent="0.2">
      <c r="A24" s="1" t="s">
        <v>200</v>
      </c>
      <c r="B24" s="5"/>
      <c r="C24" s="5"/>
      <c r="D24" s="5"/>
      <c r="E24" s="5"/>
      <c r="F24" s="21"/>
      <c r="G24" s="5"/>
      <c r="H24" s="5"/>
      <c r="I24" s="5"/>
      <c r="J24" s="5"/>
      <c r="K24" s="21"/>
      <c r="L24" s="5"/>
      <c r="M24" s="5"/>
      <c r="N24" s="5"/>
      <c r="O24" s="5"/>
      <c r="P24" s="21"/>
      <c r="Q24" s="5"/>
      <c r="R24" s="5"/>
      <c r="S24" s="5"/>
      <c r="T24" s="5"/>
      <c r="U24" s="21"/>
      <c r="V24" s="5"/>
      <c r="W24" s="5"/>
      <c r="X24" s="5"/>
      <c r="Y24" s="5"/>
      <c r="Z24" s="21"/>
      <c r="AA24" s="5">
        <v>0</v>
      </c>
      <c r="AB24" s="5">
        <v>0</v>
      </c>
      <c r="AC24" s="5">
        <v>0</v>
      </c>
      <c r="AD24" s="5">
        <v>0</v>
      </c>
      <c r="AE24" s="21">
        <v>0</v>
      </c>
      <c r="AF24" s="5">
        <v>0</v>
      </c>
      <c r="AG24" s="5">
        <v>0</v>
      </c>
      <c r="AH24" s="5">
        <v>-1</v>
      </c>
      <c r="AI24" s="5">
        <v>-66</v>
      </c>
      <c r="AJ24" s="21">
        <f>SUM(AF24:AI24)</f>
        <v>-67</v>
      </c>
    </row>
    <row r="25" spans="1:36" x14ac:dyDescent="0.2">
      <c r="A25" s="1" t="s">
        <v>124</v>
      </c>
      <c r="B25" s="9">
        <f t="shared" ref="B25:V25" si="23">B19+B20+B21+B23+B22</f>
        <v>-953</v>
      </c>
      <c r="C25" s="9">
        <f t="shared" si="23"/>
        <v>-42434</v>
      </c>
      <c r="D25" s="9">
        <f t="shared" si="23"/>
        <v>31208</v>
      </c>
      <c r="E25" s="9">
        <f t="shared" si="23"/>
        <v>18792</v>
      </c>
      <c r="F25" s="24">
        <f t="shared" si="23"/>
        <v>6613</v>
      </c>
      <c r="G25" s="9">
        <f t="shared" si="23"/>
        <v>18939</v>
      </c>
      <c r="H25" s="9">
        <f t="shared" si="23"/>
        <v>33425</v>
      </c>
      <c r="I25" s="9">
        <f t="shared" si="23"/>
        <v>36457</v>
      </c>
      <c r="J25" s="9">
        <f t="shared" si="23"/>
        <v>29653</v>
      </c>
      <c r="K25" s="24">
        <f t="shared" si="23"/>
        <v>118474</v>
      </c>
      <c r="L25" s="9">
        <f t="shared" si="23"/>
        <v>20314</v>
      </c>
      <c r="M25" s="9">
        <f t="shared" si="23"/>
        <v>58153</v>
      </c>
      <c r="N25" s="9">
        <f t="shared" si="23"/>
        <v>65691</v>
      </c>
      <c r="O25" s="9">
        <f t="shared" si="23"/>
        <v>-2079</v>
      </c>
      <c r="P25" s="24">
        <f t="shared" si="23"/>
        <v>142079</v>
      </c>
      <c r="Q25" s="9">
        <f t="shared" si="23"/>
        <v>8151</v>
      </c>
      <c r="R25" s="9">
        <f t="shared" si="23"/>
        <v>16185</v>
      </c>
      <c r="S25" s="9">
        <f t="shared" si="23"/>
        <v>21786</v>
      </c>
      <c r="T25" s="9">
        <f t="shared" si="23"/>
        <v>10549</v>
      </c>
      <c r="U25" s="24">
        <f t="shared" si="23"/>
        <v>56671</v>
      </c>
      <c r="V25" s="9">
        <f t="shared" si="23"/>
        <v>-27694</v>
      </c>
      <c r="W25" s="9">
        <f t="shared" ref="W25:X25" si="24">W19+W20+W21+W23+W22</f>
        <v>3091</v>
      </c>
      <c r="X25" s="9">
        <f t="shared" si="24"/>
        <v>97847</v>
      </c>
      <c r="Y25" s="9">
        <f>Y19+Y20+Y21+Y23+Y22</f>
        <v>120709</v>
      </c>
      <c r="Z25" s="24">
        <f t="shared" ref="Z25:AA25" si="25">Z19+Z20+Z21+Z23+Z22</f>
        <v>193953</v>
      </c>
      <c r="AA25" s="9">
        <f t="shared" si="25"/>
        <v>161145</v>
      </c>
      <c r="AB25" s="9">
        <f t="shared" ref="AB25:AC25" si="26">AB19+AB20+AB21+AB23+AB22</f>
        <v>238745</v>
      </c>
      <c r="AC25" s="9">
        <f t="shared" si="26"/>
        <v>70698</v>
      </c>
      <c r="AD25" s="9">
        <f t="shared" ref="AD25:AE25" si="27">AD19+AD20+AD21+AD23+AD22</f>
        <v>38428</v>
      </c>
      <c r="AE25" s="24">
        <f t="shared" si="27"/>
        <v>509016</v>
      </c>
      <c r="AF25" s="9">
        <f t="shared" ref="AF25:AG25" si="28">AF19+AF20+AF21+AF23+AF22</f>
        <v>195945</v>
      </c>
      <c r="AG25" s="9">
        <f t="shared" si="28"/>
        <v>148491</v>
      </c>
      <c r="AH25" s="9">
        <f>AH19+AH20+AH21+AH23+AH22+AH24</f>
        <v>55756</v>
      </c>
      <c r="AI25" s="9">
        <f>AI19+AI20+AI21+AI23+AI22+AI24</f>
        <v>-880</v>
      </c>
      <c r="AJ25" s="24">
        <f>AJ19+AJ20+AJ21+AJ23+AJ22+AJ24</f>
        <v>399312</v>
      </c>
    </row>
    <row r="26" spans="1:36" x14ac:dyDescent="0.2">
      <c r="A26" s="1" t="s">
        <v>163</v>
      </c>
      <c r="B26" s="5">
        <v>1110</v>
      </c>
      <c r="C26" s="5">
        <v>11196</v>
      </c>
      <c r="D26" s="5">
        <v>-3562</v>
      </c>
      <c r="E26" s="5">
        <v>-4419</v>
      </c>
      <c r="F26" s="21">
        <f>SUM(B26:E26)</f>
        <v>4325</v>
      </c>
      <c r="G26" s="5">
        <v>-2018</v>
      </c>
      <c r="H26" s="5">
        <v>-9181</v>
      </c>
      <c r="I26" s="5">
        <v>-2757</v>
      </c>
      <c r="J26" s="5">
        <v>-18065</v>
      </c>
      <c r="K26" s="21">
        <f>SUM(G26:J26)</f>
        <v>-32021</v>
      </c>
      <c r="L26" s="5">
        <v>-5717</v>
      </c>
      <c r="M26" s="5">
        <v>-12005</v>
      </c>
      <c r="N26" s="5">
        <v>-5355</v>
      </c>
      <c r="O26" s="5">
        <v>3878</v>
      </c>
      <c r="P26" s="21">
        <f>SUM(L26:O26)</f>
        <v>-19199</v>
      </c>
      <c r="Q26" s="5">
        <v>-1591</v>
      </c>
      <c r="R26" s="5">
        <v>952</v>
      </c>
      <c r="S26" s="5">
        <v>-1221</v>
      </c>
      <c r="T26" s="5">
        <v>850</v>
      </c>
      <c r="U26" s="21">
        <f>SUM(Q26:T26)</f>
        <v>-1010</v>
      </c>
      <c r="V26" s="5">
        <v>10862</v>
      </c>
      <c r="W26" s="5">
        <v>-453</v>
      </c>
      <c r="X26" s="5">
        <v>-16840</v>
      </c>
      <c r="Y26" s="5">
        <v>-20692</v>
      </c>
      <c r="Z26" s="21">
        <f>SUM(V26:Y26)</f>
        <v>-27123</v>
      </c>
      <c r="AA26" s="5">
        <v>-30039</v>
      </c>
      <c r="AB26" s="5">
        <v>-50840</v>
      </c>
      <c r="AC26" s="5">
        <v>-5031</v>
      </c>
      <c r="AD26" s="5">
        <v>754</v>
      </c>
      <c r="AE26" s="21">
        <f>SUM(AA26:AD26)</f>
        <v>-85156</v>
      </c>
      <c r="AF26" s="5">
        <v>-32065</v>
      </c>
      <c r="AG26" s="5">
        <v>-28269</v>
      </c>
      <c r="AH26" s="5">
        <v>-9801</v>
      </c>
      <c r="AI26" s="5">
        <f>-65412+70135</f>
        <v>4723</v>
      </c>
      <c r="AJ26" s="21">
        <f>SUM(AF26:AI26)</f>
        <v>-65412</v>
      </c>
    </row>
    <row r="27" spans="1:36" ht="13.5" thickBot="1" x14ac:dyDescent="0.25">
      <c r="A27" s="1" t="s">
        <v>125</v>
      </c>
      <c r="B27" s="10">
        <f t="shared" ref="B27:P27" si="29">B25+B26</f>
        <v>157</v>
      </c>
      <c r="C27" s="10">
        <f t="shared" si="29"/>
        <v>-31238</v>
      </c>
      <c r="D27" s="10">
        <f t="shared" si="29"/>
        <v>27646</v>
      </c>
      <c r="E27" s="10">
        <f t="shared" si="29"/>
        <v>14373</v>
      </c>
      <c r="F27" s="25">
        <f t="shared" si="29"/>
        <v>10938</v>
      </c>
      <c r="G27" s="10">
        <f t="shared" si="29"/>
        <v>16921</v>
      </c>
      <c r="H27" s="10">
        <f t="shared" si="29"/>
        <v>24244</v>
      </c>
      <c r="I27" s="10">
        <f t="shared" si="29"/>
        <v>33700</v>
      </c>
      <c r="J27" s="10">
        <f t="shared" si="29"/>
        <v>11588</v>
      </c>
      <c r="K27" s="25">
        <f t="shared" si="29"/>
        <v>86453</v>
      </c>
      <c r="L27" s="10">
        <f t="shared" si="29"/>
        <v>14597</v>
      </c>
      <c r="M27" s="10">
        <f t="shared" si="29"/>
        <v>46148</v>
      </c>
      <c r="N27" s="10">
        <f t="shared" si="29"/>
        <v>60336</v>
      </c>
      <c r="O27" s="10">
        <f t="shared" si="29"/>
        <v>1799</v>
      </c>
      <c r="P27" s="25">
        <f t="shared" si="29"/>
        <v>122880</v>
      </c>
      <c r="Q27" s="10">
        <f t="shared" ref="Q27:R27" si="30">Q25+Q26</f>
        <v>6560</v>
      </c>
      <c r="R27" s="10">
        <f t="shared" si="30"/>
        <v>17137</v>
      </c>
      <c r="S27" s="10">
        <f t="shared" ref="S27:U27" si="31">S25+S26</f>
        <v>20565</v>
      </c>
      <c r="T27" s="10">
        <f t="shared" si="31"/>
        <v>11399</v>
      </c>
      <c r="U27" s="25">
        <f t="shared" si="31"/>
        <v>55661</v>
      </c>
      <c r="V27" s="10">
        <f t="shared" ref="V27:W27" si="32">V25+V26</f>
        <v>-16832</v>
      </c>
      <c r="W27" s="10">
        <f t="shared" si="32"/>
        <v>2638</v>
      </c>
      <c r="X27" s="10">
        <f t="shared" ref="X27:AA27" si="33">X25+X26</f>
        <v>81007</v>
      </c>
      <c r="Y27" s="10">
        <f t="shared" si="33"/>
        <v>100017</v>
      </c>
      <c r="Z27" s="25">
        <f t="shared" si="33"/>
        <v>166830</v>
      </c>
      <c r="AA27" s="10">
        <f t="shared" si="33"/>
        <v>131106</v>
      </c>
      <c r="AB27" s="10">
        <f t="shared" ref="AB27:AC27" si="34">AB25+AB26</f>
        <v>187905</v>
      </c>
      <c r="AC27" s="10">
        <f t="shared" si="34"/>
        <v>65667</v>
      </c>
      <c r="AD27" s="10">
        <f t="shared" ref="AD27:AE27" si="35">AD25+AD26</f>
        <v>39182</v>
      </c>
      <c r="AE27" s="25">
        <f t="shared" si="35"/>
        <v>423860</v>
      </c>
      <c r="AF27" s="10">
        <f t="shared" ref="AF27:AG27" si="36">AF25+AF26</f>
        <v>163880</v>
      </c>
      <c r="AG27" s="10">
        <f t="shared" si="36"/>
        <v>120222</v>
      </c>
      <c r="AH27" s="10">
        <f t="shared" ref="AH27:AI27" si="37">AH25+AH26</f>
        <v>45955</v>
      </c>
      <c r="AI27" s="10">
        <f t="shared" si="37"/>
        <v>3843</v>
      </c>
      <c r="AJ27" s="25">
        <f t="shared" ref="AJ27" si="38">AJ25+AJ26</f>
        <v>333900</v>
      </c>
    </row>
    <row r="28" spans="1:36" ht="13.5" thickTop="1" x14ac:dyDescent="0.2">
      <c r="A28" s="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
      <c r="A29" s="1" t="s">
        <v>164</v>
      </c>
      <c r="B29" s="26"/>
      <c r="C29" s="26"/>
      <c r="D29" s="26"/>
      <c r="E29" s="26"/>
      <c r="F29" s="26"/>
      <c r="G29" s="3"/>
      <c r="H29" s="3"/>
      <c r="I29" s="3"/>
      <c r="J29" s="3"/>
      <c r="K29" s="20"/>
      <c r="L29" s="3"/>
      <c r="M29" s="3"/>
      <c r="N29" s="3"/>
      <c r="O29" s="3"/>
      <c r="P29" s="20"/>
      <c r="Q29" s="3"/>
      <c r="R29" s="3"/>
      <c r="S29" s="3"/>
      <c r="T29" s="3"/>
      <c r="U29" s="20"/>
      <c r="V29" s="3"/>
      <c r="W29" s="3"/>
      <c r="X29" s="3"/>
      <c r="Y29" s="3"/>
      <c r="Z29" s="20"/>
      <c r="AA29" s="3"/>
      <c r="AB29" s="3"/>
      <c r="AC29" s="3"/>
      <c r="AD29" s="3"/>
      <c r="AE29" s="20"/>
      <c r="AF29" s="3"/>
      <c r="AG29" s="3"/>
      <c r="AH29" s="3"/>
      <c r="AI29" s="3"/>
      <c r="AJ29" s="20"/>
    </row>
    <row r="30" spans="1:36" x14ac:dyDescent="0.2">
      <c r="A30" s="4" t="s">
        <v>9</v>
      </c>
      <c r="B30" s="12">
        <v>0</v>
      </c>
      <c r="C30" s="12">
        <v>-0.77</v>
      </c>
      <c r="D30" s="12">
        <v>0.68</v>
      </c>
      <c r="E30" s="12">
        <v>0.35</v>
      </c>
      <c r="F30" s="27">
        <v>0.27</v>
      </c>
      <c r="G30" s="12">
        <v>0.41</v>
      </c>
      <c r="H30" s="12">
        <v>0.59</v>
      </c>
      <c r="I30" s="12">
        <v>0.83</v>
      </c>
      <c r="J30" s="12">
        <v>0.28000000000000003</v>
      </c>
      <c r="K30" s="27">
        <v>2.12</v>
      </c>
      <c r="L30" s="12">
        <v>0.28999999999999998</v>
      </c>
      <c r="M30" s="12">
        <v>0.73</v>
      </c>
      <c r="N30" s="12">
        <v>0.96</v>
      </c>
      <c r="O30" s="12">
        <v>0.03</v>
      </c>
      <c r="P30" s="27">
        <v>2.0299999999999998</v>
      </c>
      <c r="Q30" s="12">
        <v>0.1</v>
      </c>
      <c r="R30" s="12">
        <v>0.25</v>
      </c>
      <c r="S30" s="12">
        <v>0.3</v>
      </c>
      <c r="T30" s="12">
        <v>0.17</v>
      </c>
      <c r="U30" s="27">
        <v>0.82</v>
      </c>
      <c r="V30" s="12">
        <v>-0.25</v>
      </c>
      <c r="W30" s="12">
        <v>0.04</v>
      </c>
      <c r="X30" s="12">
        <v>1.21</v>
      </c>
      <c r="Y30" s="12">
        <v>1.49</v>
      </c>
      <c r="Z30" s="27">
        <v>2.48</v>
      </c>
      <c r="AA30" s="12">
        <v>1.95</v>
      </c>
      <c r="AB30" s="12">
        <v>2.79</v>
      </c>
      <c r="AC30" s="12">
        <v>0.98</v>
      </c>
      <c r="AD30" s="12">
        <v>0.57999999999999996</v>
      </c>
      <c r="AE30" s="27">
        <f t="shared" ref="AE30:AJ30" si="39">+AE27/AE35</f>
        <v>6.2932058439244569</v>
      </c>
      <c r="AF30" s="12">
        <f t="shared" si="39"/>
        <v>2.3607369740272834</v>
      </c>
      <c r="AG30" s="12">
        <f t="shared" si="39"/>
        <v>1.7278240873814315</v>
      </c>
      <c r="AH30" s="12">
        <f t="shared" si="39"/>
        <v>0.64285314607055932</v>
      </c>
      <c r="AI30" s="12">
        <f t="shared" si="39"/>
        <v>4.7824680173229134E-2</v>
      </c>
      <c r="AJ30" s="27">
        <f t="shared" si="39"/>
        <v>4.5903216937036015</v>
      </c>
    </row>
    <row r="31" spans="1:36" x14ac:dyDescent="0.2">
      <c r="A31" s="4" t="s">
        <v>10</v>
      </c>
      <c r="B31" s="12">
        <v>0</v>
      </c>
      <c r="C31" s="12">
        <v>-0.77</v>
      </c>
      <c r="D31" s="12">
        <v>0.68</v>
      </c>
      <c r="E31" s="12">
        <v>0.35</v>
      </c>
      <c r="F31" s="27">
        <v>0.27</v>
      </c>
      <c r="G31" s="12">
        <v>0.41</v>
      </c>
      <c r="H31" s="12">
        <v>0.59</v>
      </c>
      <c r="I31" s="12">
        <v>0.82</v>
      </c>
      <c r="J31" s="12">
        <v>0.28000000000000003</v>
      </c>
      <c r="K31" s="27">
        <v>2.1</v>
      </c>
      <c r="L31" s="12">
        <v>0.28999999999999998</v>
      </c>
      <c r="M31" s="12">
        <v>0.73</v>
      </c>
      <c r="N31" s="12">
        <v>0.93</v>
      </c>
      <c r="O31" s="12">
        <v>0.03</v>
      </c>
      <c r="P31" s="27">
        <v>1.99</v>
      </c>
      <c r="Q31" s="12">
        <v>0.1</v>
      </c>
      <c r="R31" s="12">
        <v>0.25</v>
      </c>
      <c r="S31" s="12">
        <v>0.3</v>
      </c>
      <c r="T31" s="12">
        <v>0.17</v>
      </c>
      <c r="U31" s="27">
        <v>0.82</v>
      </c>
      <c r="V31" s="12">
        <v>-0.25</v>
      </c>
      <c r="W31" s="12">
        <v>0.04</v>
      </c>
      <c r="X31" s="12">
        <v>1.2</v>
      </c>
      <c r="Y31" s="12">
        <v>1.48</v>
      </c>
      <c r="Z31" s="27">
        <v>2.4700000000000002</v>
      </c>
      <c r="AA31" s="12">
        <v>1.94</v>
      </c>
      <c r="AB31" s="12">
        <v>2.77</v>
      </c>
      <c r="AC31" s="12">
        <v>0.97</v>
      </c>
      <c r="AD31" s="12">
        <v>0.57999999999999996</v>
      </c>
      <c r="AE31" s="27">
        <f t="shared" ref="AE31:AJ31" si="40">+AE27/AE36</f>
        <v>6.2591001048450217</v>
      </c>
      <c r="AF31" s="12">
        <f t="shared" si="40"/>
        <v>2.3538198583801329</v>
      </c>
      <c r="AG31" s="12">
        <f t="shared" si="40"/>
        <v>1.7226003352867849</v>
      </c>
      <c r="AH31" s="12">
        <f t="shared" si="40"/>
        <v>0.64154288586106767</v>
      </c>
      <c r="AI31" s="12">
        <f t="shared" si="40"/>
        <v>4.7692918662662266E-2</v>
      </c>
      <c r="AJ31" s="27">
        <f t="shared" si="40"/>
        <v>4.5788650887249389</v>
      </c>
    </row>
    <row r="32" spans="1:36" ht="14.25" x14ac:dyDescent="0.2">
      <c r="A32" s="1" t="s">
        <v>183</v>
      </c>
      <c r="B32" s="13">
        <v>0.375</v>
      </c>
      <c r="C32" s="13">
        <v>0.375</v>
      </c>
      <c r="D32" s="13">
        <v>0.375</v>
      </c>
      <c r="E32" s="13">
        <v>0.375</v>
      </c>
      <c r="F32" s="27">
        <v>1.5</v>
      </c>
      <c r="G32" s="13">
        <v>0.375</v>
      </c>
      <c r="H32" s="13">
        <v>0.375</v>
      </c>
      <c r="I32" s="13">
        <v>0.375</v>
      </c>
      <c r="J32" s="12">
        <v>0.4</v>
      </c>
      <c r="K32" s="28">
        <v>1.5249999999999999</v>
      </c>
      <c r="L32" s="12">
        <v>0.4</v>
      </c>
      <c r="M32" s="12">
        <v>0.4</v>
      </c>
      <c r="N32" s="12">
        <v>0.4</v>
      </c>
      <c r="O32" s="12">
        <v>0.4</v>
      </c>
      <c r="P32" s="27">
        <v>1.6</v>
      </c>
      <c r="Q32" s="12">
        <v>0.4</v>
      </c>
      <c r="R32" s="12">
        <v>0.4</v>
      </c>
      <c r="S32" s="12">
        <v>0.4</v>
      </c>
      <c r="T32" s="12">
        <v>0.4</v>
      </c>
      <c r="U32" s="27">
        <v>1.6</v>
      </c>
      <c r="V32" s="12">
        <v>0.4</v>
      </c>
      <c r="W32" s="12">
        <v>0.4</v>
      </c>
      <c r="X32" s="12">
        <v>0.4</v>
      </c>
      <c r="Y32" s="12">
        <v>0.41</v>
      </c>
      <c r="Z32" s="27">
        <v>1.61</v>
      </c>
      <c r="AA32" s="12">
        <v>0.41</v>
      </c>
      <c r="AB32" s="12">
        <v>0.41</v>
      </c>
      <c r="AC32" s="12">
        <v>0.41</v>
      </c>
      <c r="AD32" s="12">
        <v>4.4400000000000004</v>
      </c>
      <c r="AE32" s="27">
        <f>SUM(AA32:AD32)</f>
        <v>5.67</v>
      </c>
      <c r="AF32" s="12">
        <v>0.44</v>
      </c>
      <c r="AG32" s="12">
        <v>0.44</v>
      </c>
      <c r="AH32" s="12">
        <v>0.44</v>
      </c>
      <c r="AI32" s="12">
        <v>1.4</v>
      </c>
      <c r="AJ32" s="27">
        <f>SUM(AF32:AI32)</f>
        <v>2.7199999999999998</v>
      </c>
    </row>
    <row r="33" spans="1:36" ht="14.25" x14ac:dyDescent="0.2">
      <c r="A33" s="1" t="s">
        <v>117</v>
      </c>
      <c r="B33" s="13">
        <v>0</v>
      </c>
      <c r="C33" s="13">
        <v>0</v>
      </c>
      <c r="D33" s="13">
        <v>0</v>
      </c>
      <c r="E33" s="13">
        <v>0</v>
      </c>
      <c r="F33" s="27">
        <v>0</v>
      </c>
      <c r="G33" s="13">
        <v>0</v>
      </c>
      <c r="H33" s="13">
        <v>0</v>
      </c>
      <c r="I33" s="13">
        <v>0</v>
      </c>
      <c r="J33" s="12">
        <v>0</v>
      </c>
      <c r="K33" s="28">
        <v>0</v>
      </c>
      <c r="L33" s="12">
        <v>0</v>
      </c>
      <c r="M33" s="12">
        <v>0</v>
      </c>
      <c r="N33" s="12">
        <v>0</v>
      </c>
      <c r="O33" s="12">
        <v>3.54</v>
      </c>
      <c r="P33" s="27">
        <v>3.54</v>
      </c>
      <c r="Q33" s="12">
        <v>0</v>
      </c>
      <c r="R33" s="12">
        <v>0</v>
      </c>
      <c r="S33" s="12">
        <v>0</v>
      </c>
      <c r="T33" s="12">
        <v>0</v>
      </c>
      <c r="U33" s="27">
        <v>0</v>
      </c>
      <c r="V33" s="12">
        <v>0</v>
      </c>
      <c r="W33" s="12">
        <v>0</v>
      </c>
      <c r="X33" s="12">
        <v>0</v>
      </c>
      <c r="Y33" s="12">
        <v>0</v>
      </c>
      <c r="Z33" s="27">
        <v>0</v>
      </c>
      <c r="AA33" s="12">
        <v>0</v>
      </c>
      <c r="AB33" s="12">
        <v>0</v>
      </c>
      <c r="AC33" s="12">
        <v>0</v>
      </c>
      <c r="AD33" s="12">
        <v>0</v>
      </c>
      <c r="AE33" s="27">
        <v>0</v>
      </c>
      <c r="AF33" s="12">
        <v>0</v>
      </c>
      <c r="AG33" s="12">
        <v>0</v>
      </c>
      <c r="AH33" s="12">
        <v>0</v>
      </c>
      <c r="AI33" s="12">
        <v>0</v>
      </c>
      <c r="AJ33" s="27">
        <v>0</v>
      </c>
    </row>
    <row r="34" spans="1:36" x14ac:dyDescent="0.2">
      <c r="A34" s="1" t="s">
        <v>11</v>
      </c>
      <c r="B34" s="12"/>
      <c r="C34" s="12"/>
      <c r="D34" s="12"/>
      <c r="E34" s="12"/>
      <c r="F34" s="27"/>
      <c r="G34" s="12"/>
      <c r="H34" s="12"/>
      <c r="I34" s="12"/>
      <c r="J34" s="12"/>
      <c r="K34" s="27"/>
      <c r="L34" s="12"/>
      <c r="M34" s="12" t="s">
        <v>12</v>
      </c>
      <c r="N34" s="12" t="s">
        <v>12</v>
      </c>
      <c r="O34" s="12"/>
      <c r="P34" s="27"/>
      <c r="Q34" s="12"/>
      <c r="R34" s="12"/>
      <c r="S34" s="12"/>
      <c r="T34" s="12"/>
      <c r="U34" s="27"/>
      <c r="V34" s="12"/>
      <c r="W34" s="12"/>
      <c r="X34" s="12"/>
      <c r="Y34" s="12"/>
      <c r="Z34" s="27"/>
      <c r="AA34" s="12"/>
      <c r="AB34" s="12"/>
      <c r="AC34" s="12"/>
      <c r="AD34" s="12"/>
      <c r="AE34" s="27"/>
      <c r="AF34" s="12"/>
      <c r="AG34" s="12"/>
      <c r="AH34" s="12"/>
      <c r="AI34" s="12"/>
      <c r="AJ34" s="27"/>
    </row>
    <row r="35" spans="1:36" x14ac:dyDescent="0.2">
      <c r="A35" s="4" t="s">
        <v>9</v>
      </c>
      <c r="B35" s="5">
        <v>40875.178999999996</v>
      </c>
      <c r="C35" s="5">
        <v>40784</v>
      </c>
      <c r="D35" s="5">
        <v>40740</v>
      </c>
      <c r="E35" s="5">
        <v>40752</v>
      </c>
      <c r="F35" s="21">
        <v>40798</v>
      </c>
      <c r="G35" s="5">
        <v>40777.900999999998</v>
      </c>
      <c r="H35" s="5">
        <v>40822.726000000002</v>
      </c>
      <c r="I35" s="5">
        <v>40829.398999999998</v>
      </c>
      <c r="J35" s="5">
        <v>40839</v>
      </c>
      <c r="K35" s="21">
        <v>40824.42</v>
      </c>
      <c r="L35" s="5">
        <v>50424.91</v>
      </c>
      <c r="M35" s="5">
        <v>62979.66</v>
      </c>
      <c r="N35" s="5">
        <v>62985.517</v>
      </c>
      <c r="O35" s="5">
        <v>65486</v>
      </c>
      <c r="P35" s="21">
        <v>60534</v>
      </c>
      <c r="Q35" s="5">
        <v>67860</v>
      </c>
      <c r="R35" s="5">
        <v>67664</v>
      </c>
      <c r="S35" s="5">
        <v>67446</v>
      </c>
      <c r="T35" s="5">
        <v>67476</v>
      </c>
      <c r="U35" s="21">
        <v>67608</v>
      </c>
      <c r="V35" s="5">
        <v>67478</v>
      </c>
      <c r="W35" s="5">
        <v>67176</v>
      </c>
      <c r="X35" s="5">
        <v>67149</v>
      </c>
      <c r="Y35" s="5">
        <v>67159</v>
      </c>
      <c r="Z35" s="21">
        <v>67237</v>
      </c>
      <c r="AA35" s="5">
        <v>67207</v>
      </c>
      <c r="AB35" s="5">
        <v>67316</v>
      </c>
      <c r="AC35" s="5">
        <v>67315</v>
      </c>
      <c r="AD35" s="5">
        <v>67572</v>
      </c>
      <c r="AE35" s="21">
        <v>67352</v>
      </c>
      <c r="AF35" s="5">
        <v>69419</v>
      </c>
      <c r="AG35" s="5">
        <v>69580</v>
      </c>
      <c r="AH35" s="5">
        <v>71486</v>
      </c>
      <c r="AI35" s="5">
        <v>80356</v>
      </c>
      <c r="AJ35" s="21">
        <v>72740</v>
      </c>
    </row>
    <row r="36" spans="1:36" x14ac:dyDescent="0.2">
      <c r="A36" s="4" t="s">
        <v>10</v>
      </c>
      <c r="B36" s="5">
        <v>40959.675000000003</v>
      </c>
      <c r="C36" s="5">
        <v>40784</v>
      </c>
      <c r="D36" s="5">
        <v>40933</v>
      </c>
      <c r="E36" s="5">
        <v>41069</v>
      </c>
      <c r="F36" s="21">
        <v>41033</v>
      </c>
      <c r="G36" s="5">
        <v>41070.608999999997</v>
      </c>
      <c r="H36" s="5">
        <v>41218.968999999997</v>
      </c>
      <c r="I36" s="5">
        <v>41250.457000000002</v>
      </c>
      <c r="J36" s="5">
        <v>41301</v>
      </c>
      <c r="K36" s="21">
        <v>41227.387999999999</v>
      </c>
      <c r="L36" s="5">
        <v>50786.184000000001</v>
      </c>
      <c r="M36" s="5">
        <v>63316.290999999997</v>
      </c>
      <c r="N36" s="5">
        <v>64721.656999999999</v>
      </c>
      <c r="O36" s="5">
        <v>68110</v>
      </c>
      <c r="P36" s="21">
        <v>61814</v>
      </c>
      <c r="Q36" s="5">
        <v>67916</v>
      </c>
      <c r="R36" s="5">
        <v>67713</v>
      </c>
      <c r="S36" s="5">
        <v>67545</v>
      </c>
      <c r="T36" s="5">
        <v>67695</v>
      </c>
      <c r="U36" s="21">
        <v>67743</v>
      </c>
      <c r="V36" s="5">
        <v>67478</v>
      </c>
      <c r="W36" s="5">
        <v>67359</v>
      </c>
      <c r="X36" s="5">
        <v>67528</v>
      </c>
      <c r="Y36" s="5">
        <v>67607</v>
      </c>
      <c r="Z36" s="21">
        <v>67568</v>
      </c>
      <c r="AA36" s="5">
        <v>67607</v>
      </c>
      <c r="AB36" s="5">
        <v>67732</v>
      </c>
      <c r="AC36" s="5">
        <v>67648</v>
      </c>
      <c r="AD36" s="5">
        <v>67974</v>
      </c>
      <c r="AE36" s="21">
        <v>67719</v>
      </c>
      <c r="AF36" s="5">
        <v>69623</v>
      </c>
      <c r="AG36" s="5">
        <v>69791</v>
      </c>
      <c r="AH36" s="5">
        <v>71632</v>
      </c>
      <c r="AI36" s="5">
        <v>80578</v>
      </c>
      <c r="AJ36" s="21">
        <v>72922</v>
      </c>
    </row>
    <row r="37" spans="1:36" x14ac:dyDescent="0.2">
      <c r="A37" s="4"/>
      <c r="B37" s="5"/>
      <c r="C37" s="5"/>
      <c r="D37" s="5"/>
      <c r="E37" s="5"/>
      <c r="F37" s="21"/>
      <c r="G37" s="5"/>
      <c r="H37" s="5"/>
      <c r="I37" s="5"/>
      <c r="J37" s="5"/>
      <c r="K37" s="21"/>
      <c r="L37" s="5"/>
      <c r="M37" s="5"/>
      <c r="N37" s="5"/>
      <c r="O37" s="5"/>
      <c r="P37" s="21"/>
      <c r="Q37" s="5"/>
      <c r="R37" s="5"/>
      <c r="S37" s="5"/>
      <c r="T37" s="5"/>
      <c r="U37" s="21"/>
      <c r="V37" s="5"/>
      <c r="W37" s="5"/>
      <c r="X37" s="5"/>
      <c r="Y37" s="5"/>
      <c r="Z37" s="21"/>
      <c r="AA37" s="5"/>
      <c r="AB37" s="5"/>
      <c r="AC37" s="5"/>
      <c r="AD37" s="5"/>
      <c r="AE37" s="21"/>
      <c r="AF37" s="5"/>
      <c r="AG37" s="5"/>
      <c r="AH37" s="5"/>
      <c r="AI37" s="5"/>
      <c r="AJ37" s="21"/>
    </row>
    <row r="38" spans="1:36" ht="14.25" x14ac:dyDescent="0.2">
      <c r="A38" s="1" t="s">
        <v>167</v>
      </c>
      <c r="B38" s="5"/>
      <c r="C38" s="5"/>
      <c r="D38" s="5"/>
      <c r="E38" s="5"/>
      <c r="F38" s="21"/>
      <c r="G38" s="5"/>
      <c r="H38" s="5"/>
      <c r="I38" s="5"/>
      <c r="J38" s="5"/>
      <c r="K38" s="21"/>
      <c r="L38" s="5"/>
      <c r="M38" s="5"/>
      <c r="N38" s="5"/>
      <c r="O38" s="5"/>
      <c r="P38" s="21"/>
      <c r="Q38" s="5"/>
      <c r="R38" s="5"/>
      <c r="S38" s="5"/>
      <c r="T38" s="5"/>
      <c r="U38" s="21"/>
      <c r="V38" s="5"/>
      <c r="W38" s="5"/>
      <c r="X38" s="5"/>
      <c r="Y38" s="5"/>
      <c r="Z38" s="21"/>
      <c r="AA38" s="5"/>
      <c r="AB38" s="5"/>
      <c r="AC38" s="5"/>
      <c r="AD38" s="5"/>
      <c r="AE38" s="21"/>
      <c r="AF38" s="5"/>
      <c r="AG38" s="5"/>
      <c r="AH38" s="5"/>
      <c r="AI38" s="5"/>
      <c r="AJ38" s="21"/>
    </row>
    <row r="39" spans="1:36" x14ac:dyDescent="0.2">
      <c r="A39" s="1"/>
      <c r="B39" s="5"/>
      <c r="C39" s="5"/>
      <c r="D39" s="5"/>
      <c r="E39" s="5"/>
      <c r="F39" s="21"/>
      <c r="G39" s="5"/>
      <c r="H39" s="5"/>
      <c r="I39" s="5"/>
      <c r="J39" s="5"/>
      <c r="K39" s="21"/>
      <c r="L39" s="5"/>
      <c r="M39" s="5"/>
      <c r="N39" s="5"/>
      <c r="O39" s="5"/>
      <c r="P39" s="21"/>
      <c r="Q39" s="5"/>
      <c r="R39" s="5"/>
      <c r="S39" s="5"/>
      <c r="T39" s="5"/>
      <c r="U39" s="21"/>
      <c r="V39" s="5"/>
      <c r="W39" s="5"/>
      <c r="X39" s="5"/>
      <c r="Y39" s="5"/>
      <c r="Z39" s="21"/>
      <c r="AA39" s="5"/>
      <c r="AB39" s="5"/>
      <c r="AC39" s="5"/>
      <c r="AD39" s="5"/>
      <c r="AE39" s="21"/>
      <c r="AF39" s="5"/>
      <c r="AG39" s="5"/>
      <c r="AH39" s="5"/>
      <c r="AI39" s="5"/>
      <c r="AJ39" s="21"/>
    </row>
    <row r="40" spans="1:36" x14ac:dyDescent="0.2">
      <c r="A40" s="1" t="s">
        <v>125</v>
      </c>
      <c r="B40" s="30">
        <f>B27</f>
        <v>157</v>
      </c>
      <c r="C40" s="30">
        <f>C27</f>
        <v>-31238</v>
      </c>
      <c r="D40" s="30">
        <f>D27</f>
        <v>27646</v>
      </c>
      <c r="E40" s="30">
        <f>E27</f>
        <v>14373</v>
      </c>
      <c r="F40" s="29">
        <f>SUM(B40:E40)</f>
        <v>10938</v>
      </c>
      <c r="G40" s="30">
        <f>G27</f>
        <v>16921</v>
      </c>
      <c r="H40" s="30">
        <f>H27</f>
        <v>24244</v>
      </c>
      <c r="I40" s="30">
        <f>I27</f>
        <v>33700</v>
      </c>
      <c r="J40" s="30">
        <f>J27</f>
        <v>11588</v>
      </c>
      <c r="K40" s="29">
        <f>SUM(G40:J40)</f>
        <v>86453</v>
      </c>
      <c r="L40" s="30">
        <f>L27</f>
        <v>14597</v>
      </c>
      <c r="M40" s="30">
        <f>M27</f>
        <v>46148</v>
      </c>
      <c r="N40" s="30">
        <f>N27</f>
        <v>60336</v>
      </c>
      <c r="O40" s="30">
        <f>O27</f>
        <v>1799</v>
      </c>
      <c r="P40" s="29">
        <f>SUM(L40:O40)</f>
        <v>122880</v>
      </c>
      <c r="Q40" s="30">
        <f>Q27</f>
        <v>6560</v>
      </c>
      <c r="R40" s="30">
        <f>R27</f>
        <v>17137</v>
      </c>
      <c r="S40" s="30">
        <f>S27</f>
        <v>20565</v>
      </c>
      <c r="T40" s="30">
        <f>T27</f>
        <v>11399</v>
      </c>
      <c r="U40" s="29">
        <f>SUM(Q40:T40)</f>
        <v>55661</v>
      </c>
      <c r="V40" s="30">
        <f>V27</f>
        <v>-16832</v>
      </c>
      <c r="W40" s="30">
        <f>W27</f>
        <v>2638</v>
      </c>
      <c r="X40" s="30">
        <f>X27</f>
        <v>81007</v>
      </c>
      <c r="Y40" s="30">
        <f>Y27</f>
        <v>100017</v>
      </c>
      <c r="Z40" s="29">
        <f>SUM(V40:Y40)</f>
        <v>166830</v>
      </c>
      <c r="AA40" s="30">
        <f t="shared" ref="AA40:AF40" si="41">AA27</f>
        <v>131106</v>
      </c>
      <c r="AB40" s="30">
        <f t="shared" si="41"/>
        <v>187905</v>
      </c>
      <c r="AC40" s="30">
        <f t="shared" si="41"/>
        <v>65667</v>
      </c>
      <c r="AD40" s="30">
        <f t="shared" si="41"/>
        <v>39182</v>
      </c>
      <c r="AE40" s="29">
        <f t="shared" si="41"/>
        <v>423860</v>
      </c>
      <c r="AF40" s="30">
        <f t="shared" si="41"/>
        <v>163880</v>
      </c>
      <c r="AG40" s="30">
        <f t="shared" ref="AG40:AI40" si="42">AG27</f>
        <v>120222</v>
      </c>
      <c r="AH40" s="30">
        <f t="shared" si="42"/>
        <v>45955</v>
      </c>
      <c r="AI40" s="30">
        <f t="shared" si="42"/>
        <v>3843</v>
      </c>
      <c r="AJ40" s="29">
        <f t="shared" ref="AJ40" si="43">AJ27</f>
        <v>333900</v>
      </c>
    </row>
    <row r="41" spans="1:36" x14ac:dyDescent="0.2">
      <c r="A41" s="4" t="s">
        <v>6</v>
      </c>
      <c r="B41" s="5">
        <f>-B20</f>
        <v>6025</v>
      </c>
      <c r="C41" s="5">
        <f>-C20</f>
        <v>8206</v>
      </c>
      <c r="D41" s="5">
        <f>-D20</f>
        <v>7786</v>
      </c>
      <c r="E41" s="5">
        <f>-E20</f>
        <v>6924</v>
      </c>
      <c r="F41" s="21">
        <f t="shared" ref="F41:F56" si="44">SUM(B41:E41)</f>
        <v>28941</v>
      </c>
      <c r="G41" s="5">
        <f>-G20</f>
        <v>4970</v>
      </c>
      <c r="H41" s="5">
        <f>-H20</f>
        <v>7348</v>
      </c>
      <c r="I41" s="5">
        <f>-I20</f>
        <v>7336</v>
      </c>
      <c r="J41" s="5">
        <f>-J20</f>
        <v>7395</v>
      </c>
      <c r="K41" s="21">
        <f t="shared" ref="K41:K56" si="45">SUM(G41:J41)</f>
        <v>27049</v>
      </c>
      <c r="L41" s="5">
        <f>-L20</f>
        <v>5660</v>
      </c>
      <c r="M41" s="5">
        <f>-M20</f>
        <v>9356</v>
      </c>
      <c r="N41" s="5">
        <f>-N20</f>
        <v>10109</v>
      </c>
      <c r="O41" s="5">
        <f>-O20</f>
        <v>10102</v>
      </c>
      <c r="P41" s="21">
        <f t="shared" ref="P41:P56" si="46">SUM(L41:O41)</f>
        <v>35227</v>
      </c>
      <c r="Q41" s="5">
        <f>-Q20</f>
        <v>5464</v>
      </c>
      <c r="R41" s="5">
        <f>-R20</f>
        <v>7882</v>
      </c>
      <c r="S41" s="5">
        <f>-S20</f>
        <v>8475</v>
      </c>
      <c r="T41" s="5">
        <f>-T20</f>
        <v>8540</v>
      </c>
      <c r="U41" s="21">
        <f t="shared" ref="U41:U56" si="47">SUM(Q41:T41)</f>
        <v>30361</v>
      </c>
      <c r="V41" s="5">
        <f>-V20</f>
        <v>3698</v>
      </c>
      <c r="W41" s="5">
        <f>-W20</f>
        <v>8339</v>
      </c>
      <c r="X41" s="5">
        <f>-X20</f>
        <v>8557</v>
      </c>
      <c r="Y41" s="5">
        <f>-Y20</f>
        <v>8869</v>
      </c>
      <c r="Z41" s="21">
        <f t="shared" ref="Z41:Z56" si="48">SUM(V41:Y41)</f>
        <v>29463</v>
      </c>
      <c r="AA41" s="5">
        <f t="shared" ref="AA41:AF41" si="49">-AA20</f>
        <v>3574</v>
      </c>
      <c r="AB41" s="5">
        <f t="shared" si="49"/>
        <v>8199</v>
      </c>
      <c r="AC41" s="5">
        <f t="shared" si="49"/>
        <v>8641</v>
      </c>
      <c r="AD41" s="5">
        <f t="shared" si="49"/>
        <v>8861</v>
      </c>
      <c r="AE41" s="21">
        <f t="shared" si="49"/>
        <v>29275</v>
      </c>
      <c r="AF41" s="5">
        <f t="shared" si="49"/>
        <v>2894</v>
      </c>
      <c r="AG41" s="5">
        <f t="shared" ref="AG41:AI41" si="50">-AG20</f>
        <v>7419</v>
      </c>
      <c r="AH41" s="5">
        <f t="shared" si="50"/>
        <v>8280</v>
      </c>
      <c r="AI41" s="5">
        <f t="shared" si="50"/>
        <v>8807</v>
      </c>
      <c r="AJ41" s="21">
        <f t="shared" ref="AJ41" si="51">-AJ20</f>
        <v>27400</v>
      </c>
    </row>
    <row r="42" spans="1:36" x14ac:dyDescent="0.2">
      <c r="A42" s="4" t="s">
        <v>163</v>
      </c>
      <c r="B42" s="5">
        <f>-B26</f>
        <v>-1110</v>
      </c>
      <c r="C42" s="5">
        <f>-C26</f>
        <v>-11196</v>
      </c>
      <c r="D42" s="5">
        <f>-D26</f>
        <v>3562</v>
      </c>
      <c r="E42" s="5">
        <f>-E26</f>
        <v>4419</v>
      </c>
      <c r="F42" s="21">
        <f t="shared" si="44"/>
        <v>-4325</v>
      </c>
      <c r="G42" s="5">
        <f>-G26</f>
        <v>2018</v>
      </c>
      <c r="H42" s="5">
        <f>-H26</f>
        <v>9181</v>
      </c>
      <c r="I42" s="5">
        <f>-I26</f>
        <v>2757</v>
      </c>
      <c r="J42" s="5">
        <f>-J26</f>
        <v>18065</v>
      </c>
      <c r="K42" s="21">
        <f t="shared" si="45"/>
        <v>32021</v>
      </c>
      <c r="L42" s="5">
        <f>-L26</f>
        <v>5717</v>
      </c>
      <c r="M42" s="5">
        <f>-M26</f>
        <v>12005</v>
      </c>
      <c r="N42" s="5">
        <f>-N26</f>
        <v>5355</v>
      </c>
      <c r="O42" s="5">
        <f>-O26</f>
        <v>-3878</v>
      </c>
      <c r="P42" s="21">
        <f t="shared" si="46"/>
        <v>19199</v>
      </c>
      <c r="Q42" s="5">
        <f>-Q26</f>
        <v>1591</v>
      </c>
      <c r="R42" s="5">
        <f>-R26</f>
        <v>-952</v>
      </c>
      <c r="S42" s="5">
        <f>-S26</f>
        <v>1221</v>
      </c>
      <c r="T42" s="5">
        <f>-T26</f>
        <v>-850</v>
      </c>
      <c r="U42" s="21">
        <f t="shared" si="47"/>
        <v>1010</v>
      </c>
      <c r="V42" s="5">
        <f>-V26</f>
        <v>-10862</v>
      </c>
      <c r="W42" s="5">
        <f>-W26</f>
        <v>453</v>
      </c>
      <c r="X42" s="5">
        <f>-X26</f>
        <v>16840</v>
      </c>
      <c r="Y42" s="5">
        <f>-Y26</f>
        <v>20692</v>
      </c>
      <c r="Z42" s="21">
        <f t="shared" si="48"/>
        <v>27123</v>
      </c>
      <c r="AA42" s="5">
        <f t="shared" ref="AA42:AF42" si="52">-AA26</f>
        <v>30039</v>
      </c>
      <c r="AB42" s="5">
        <f t="shared" si="52"/>
        <v>50840</v>
      </c>
      <c r="AC42" s="5">
        <f t="shared" si="52"/>
        <v>5031</v>
      </c>
      <c r="AD42" s="5">
        <f t="shared" si="52"/>
        <v>-754</v>
      </c>
      <c r="AE42" s="21">
        <f t="shared" si="52"/>
        <v>85156</v>
      </c>
      <c r="AF42" s="5">
        <f t="shared" si="52"/>
        <v>32065</v>
      </c>
      <c r="AG42" s="5">
        <f t="shared" ref="AG42:AI42" si="53">-AG26</f>
        <v>28269</v>
      </c>
      <c r="AH42" s="5">
        <f>-AH26</f>
        <v>9801</v>
      </c>
      <c r="AI42" s="5">
        <f t="shared" si="53"/>
        <v>-4723</v>
      </c>
      <c r="AJ42" s="21">
        <f t="shared" ref="AJ42" si="54">-AJ26</f>
        <v>65412</v>
      </c>
    </row>
    <row r="43" spans="1:36" x14ac:dyDescent="0.2">
      <c r="A43" s="4" t="s">
        <v>40</v>
      </c>
      <c r="B43" s="5">
        <v>8239</v>
      </c>
      <c r="C43" s="5">
        <v>7401</v>
      </c>
      <c r="D43" s="5">
        <v>8480</v>
      </c>
      <c r="E43" s="5">
        <v>8091</v>
      </c>
      <c r="F43" s="21">
        <f t="shared" si="44"/>
        <v>32211</v>
      </c>
      <c r="G43" s="5">
        <v>6329</v>
      </c>
      <c r="H43" s="5">
        <v>6271</v>
      </c>
      <c r="I43" s="5">
        <v>8196</v>
      </c>
      <c r="J43" s="5">
        <v>7636</v>
      </c>
      <c r="K43" s="21">
        <f t="shared" si="45"/>
        <v>28432</v>
      </c>
      <c r="L43" s="5">
        <v>12196</v>
      </c>
      <c r="M43" s="5">
        <v>20950</v>
      </c>
      <c r="N43" s="5">
        <v>18836</v>
      </c>
      <c r="O43" s="5">
        <v>18866</v>
      </c>
      <c r="P43" s="21">
        <f t="shared" si="46"/>
        <v>70848</v>
      </c>
      <c r="Q43" s="5">
        <v>15797</v>
      </c>
      <c r="R43" s="5">
        <v>16727</v>
      </c>
      <c r="S43" s="5">
        <v>18786</v>
      </c>
      <c r="T43" s="5">
        <v>19107</v>
      </c>
      <c r="U43" s="21">
        <f t="shared" si="47"/>
        <v>70417</v>
      </c>
      <c r="V43" s="5">
        <v>18638</v>
      </c>
      <c r="W43" s="5">
        <v>17765</v>
      </c>
      <c r="X43" s="5">
        <v>20187</v>
      </c>
      <c r="Y43" s="5">
        <v>19671</v>
      </c>
      <c r="Z43" s="21">
        <f t="shared" si="48"/>
        <v>76261</v>
      </c>
      <c r="AA43" s="5">
        <v>17996</v>
      </c>
      <c r="AB43" s="5">
        <v>17029</v>
      </c>
      <c r="AC43" s="5">
        <v>21131</v>
      </c>
      <c r="AD43" s="5">
        <v>19477</v>
      </c>
      <c r="AE43" s="21">
        <f>SUM(AA43:AD43)</f>
        <v>75633</v>
      </c>
      <c r="AF43" s="5">
        <v>19502</v>
      </c>
      <c r="AG43" s="5">
        <v>20007</v>
      </c>
      <c r="AH43" s="5">
        <v>27329</v>
      </c>
      <c r="AI43" s="5">
        <f>96700-66838</f>
        <v>29862</v>
      </c>
      <c r="AJ43" s="21">
        <f>SUM(AF43:AI43)</f>
        <v>96700</v>
      </c>
    </row>
    <row r="44" spans="1:36" x14ac:dyDescent="0.2">
      <c r="A44" s="4" t="s">
        <v>41</v>
      </c>
      <c r="B44" s="5">
        <v>2034</v>
      </c>
      <c r="C44" s="5">
        <v>3387</v>
      </c>
      <c r="D44" s="5">
        <v>1265</v>
      </c>
      <c r="E44" s="5">
        <v>1325</v>
      </c>
      <c r="F44" s="21">
        <f t="shared" si="44"/>
        <v>8011</v>
      </c>
      <c r="G44" s="5">
        <v>4790</v>
      </c>
      <c r="H44" s="5">
        <v>982</v>
      </c>
      <c r="I44" s="5">
        <v>579</v>
      </c>
      <c r="J44" s="5">
        <v>476</v>
      </c>
      <c r="K44" s="21">
        <f t="shared" si="45"/>
        <v>6827</v>
      </c>
      <c r="L44" s="5">
        <v>3605</v>
      </c>
      <c r="M44" s="5">
        <v>2820</v>
      </c>
      <c r="N44" s="5">
        <v>4248</v>
      </c>
      <c r="O44" s="5">
        <v>6025</v>
      </c>
      <c r="P44" s="21">
        <f t="shared" si="46"/>
        <v>16698</v>
      </c>
      <c r="Q44" s="5">
        <v>1556</v>
      </c>
      <c r="R44" s="5">
        <v>7427</v>
      </c>
      <c r="S44" s="5">
        <v>5228</v>
      </c>
      <c r="T44" s="5">
        <v>6343</v>
      </c>
      <c r="U44" s="21">
        <f t="shared" si="47"/>
        <v>20554</v>
      </c>
      <c r="V44" s="5">
        <v>6498</v>
      </c>
      <c r="W44" s="5">
        <v>2693</v>
      </c>
      <c r="X44" s="5">
        <v>5249</v>
      </c>
      <c r="Y44" s="5">
        <v>10908</v>
      </c>
      <c r="Z44" s="21">
        <f t="shared" si="48"/>
        <v>25348</v>
      </c>
      <c r="AA44" s="5">
        <v>8823</v>
      </c>
      <c r="AB44" s="5">
        <v>7213</v>
      </c>
      <c r="AC44" s="5">
        <v>6697</v>
      </c>
      <c r="AD44" s="5">
        <v>4627</v>
      </c>
      <c r="AE44" s="21">
        <f>SUM(AA44:AD44)</f>
        <v>27360</v>
      </c>
      <c r="AF44" s="5">
        <v>10854</v>
      </c>
      <c r="AG44" s="5">
        <v>7325</v>
      </c>
      <c r="AH44" s="5">
        <v>6845</v>
      </c>
      <c r="AI44" s="5">
        <f>29921-25024</f>
        <v>4897</v>
      </c>
      <c r="AJ44" s="21">
        <f>SUM(AF44:AI44)</f>
        <v>29921</v>
      </c>
    </row>
    <row r="45" spans="1:36" x14ac:dyDescent="0.2">
      <c r="A45" s="4" t="s">
        <v>204</v>
      </c>
      <c r="B45" s="5"/>
      <c r="C45" s="5"/>
      <c r="D45" s="5"/>
      <c r="E45" s="5"/>
      <c r="F45" s="21"/>
      <c r="G45" s="5"/>
      <c r="H45" s="5"/>
      <c r="I45" s="5"/>
      <c r="J45" s="5"/>
      <c r="K45" s="21"/>
      <c r="L45" s="5"/>
      <c r="M45" s="5"/>
      <c r="N45" s="5"/>
      <c r="O45" s="5"/>
      <c r="P45" s="21"/>
      <c r="Q45" s="5"/>
      <c r="R45" s="5"/>
      <c r="S45" s="5"/>
      <c r="T45" s="5"/>
      <c r="U45" s="21"/>
      <c r="V45" s="5"/>
      <c r="W45" s="5"/>
      <c r="X45" s="5"/>
      <c r="Y45" s="5"/>
      <c r="Z45" s="21"/>
      <c r="AA45" s="5">
        <v>0</v>
      </c>
      <c r="AB45" s="5">
        <v>0</v>
      </c>
      <c r="AC45" s="5">
        <v>0</v>
      </c>
      <c r="AD45" s="5">
        <v>0</v>
      </c>
      <c r="AE45" s="21">
        <v>0</v>
      </c>
      <c r="AF45" s="5">
        <v>0</v>
      </c>
      <c r="AG45" s="5">
        <v>0</v>
      </c>
      <c r="AH45" s="5">
        <f>+AH11</f>
        <v>26007</v>
      </c>
      <c r="AI45" s="5">
        <f>+AI11</f>
        <v>1318</v>
      </c>
      <c r="AJ45" s="21">
        <f>SUM(AF45:AI45)</f>
        <v>27325</v>
      </c>
    </row>
    <row r="46" spans="1:36" x14ac:dyDescent="0.2">
      <c r="A46" s="4" t="s">
        <v>140</v>
      </c>
      <c r="B46" s="5">
        <v>0</v>
      </c>
      <c r="C46" s="5">
        <v>0</v>
      </c>
      <c r="D46" s="5">
        <v>0</v>
      </c>
      <c r="E46" s="5">
        <v>0</v>
      </c>
      <c r="F46" s="21">
        <f t="shared" si="44"/>
        <v>0</v>
      </c>
      <c r="G46" s="5">
        <v>0</v>
      </c>
      <c r="H46" s="5">
        <v>0</v>
      </c>
      <c r="I46" s="5">
        <v>0</v>
      </c>
      <c r="J46" s="5">
        <v>0</v>
      </c>
      <c r="K46" s="21">
        <f t="shared" si="45"/>
        <v>0</v>
      </c>
      <c r="L46" s="5">
        <v>0</v>
      </c>
      <c r="M46" s="5">
        <v>0</v>
      </c>
      <c r="N46" s="5">
        <v>0</v>
      </c>
      <c r="O46" s="5">
        <v>0</v>
      </c>
      <c r="P46" s="21">
        <f t="shared" si="46"/>
        <v>0</v>
      </c>
      <c r="Q46" s="5">
        <v>5512</v>
      </c>
      <c r="R46" s="5">
        <v>0</v>
      </c>
      <c r="S46" s="5">
        <v>0</v>
      </c>
      <c r="T46" s="5">
        <v>0</v>
      </c>
      <c r="U46" s="21">
        <f t="shared" si="47"/>
        <v>5512</v>
      </c>
      <c r="V46" s="5">
        <v>0</v>
      </c>
      <c r="W46" s="5">
        <v>0</v>
      </c>
      <c r="X46" s="5">
        <v>0</v>
      </c>
      <c r="Y46" s="5">
        <v>0</v>
      </c>
      <c r="Z46" s="21">
        <f t="shared" si="48"/>
        <v>0</v>
      </c>
      <c r="AA46" s="5">
        <v>0</v>
      </c>
      <c r="AB46" s="5">
        <v>0</v>
      </c>
      <c r="AC46" s="5">
        <v>0</v>
      </c>
      <c r="AD46" s="5">
        <v>0</v>
      </c>
      <c r="AE46" s="21">
        <f>SUM(AA46:AD46)</f>
        <v>0</v>
      </c>
      <c r="AF46" s="5">
        <v>0</v>
      </c>
      <c r="AG46" s="5">
        <v>0</v>
      </c>
      <c r="AH46" s="5">
        <v>0</v>
      </c>
      <c r="AI46" s="5">
        <v>0</v>
      </c>
      <c r="AJ46" s="21">
        <f>SUM(AF46:AI46)</f>
        <v>0</v>
      </c>
    </row>
    <row r="47" spans="1:36" ht="14.25" x14ac:dyDescent="0.2">
      <c r="A47" s="4" t="s">
        <v>195</v>
      </c>
      <c r="B47" s="5">
        <v>0</v>
      </c>
      <c r="C47" s="5">
        <v>0</v>
      </c>
      <c r="D47" s="5">
        <v>0</v>
      </c>
      <c r="E47" s="5">
        <v>0</v>
      </c>
      <c r="F47" s="21">
        <f t="shared" si="44"/>
        <v>0</v>
      </c>
      <c r="G47" s="5">
        <v>0</v>
      </c>
      <c r="H47" s="5">
        <v>0</v>
      </c>
      <c r="I47" s="5">
        <v>0</v>
      </c>
      <c r="J47" s="5">
        <v>0</v>
      </c>
      <c r="K47" s="21">
        <f t="shared" si="45"/>
        <v>0</v>
      </c>
      <c r="L47" s="5">
        <v>0</v>
      </c>
      <c r="M47" s="5">
        <v>0</v>
      </c>
      <c r="N47" s="5">
        <v>0</v>
      </c>
      <c r="O47" s="5">
        <v>0</v>
      </c>
      <c r="P47" s="21">
        <f t="shared" si="46"/>
        <v>0</v>
      </c>
      <c r="Q47" s="5">
        <v>0</v>
      </c>
      <c r="R47" s="5">
        <v>0</v>
      </c>
      <c r="S47" s="5">
        <v>0</v>
      </c>
      <c r="T47" s="5">
        <v>0</v>
      </c>
      <c r="U47" s="21">
        <f t="shared" si="47"/>
        <v>0</v>
      </c>
      <c r="V47" s="5">
        <v>0</v>
      </c>
      <c r="W47" s="5">
        <v>0</v>
      </c>
      <c r="X47" s="5">
        <v>0</v>
      </c>
      <c r="Y47" s="5">
        <v>0</v>
      </c>
      <c r="Z47" s="21">
        <f t="shared" si="48"/>
        <v>0</v>
      </c>
      <c r="AA47" s="5">
        <v>0</v>
      </c>
      <c r="AB47" s="5">
        <v>0</v>
      </c>
      <c r="AC47" s="5">
        <f t="shared" ref="AC47:AI47" si="55">AC17</f>
        <v>-4394</v>
      </c>
      <c r="AD47" s="5">
        <f t="shared" si="55"/>
        <v>1033</v>
      </c>
      <c r="AE47" s="21">
        <f t="shared" si="55"/>
        <v>-3361</v>
      </c>
      <c r="AF47" s="5">
        <f t="shared" si="55"/>
        <v>276</v>
      </c>
      <c r="AG47" s="5">
        <f t="shared" si="55"/>
        <v>-9868</v>
      </c>
      <c r="AH47" s="5">
        <f t="shared" si="55"/>
        <v>-24913</v>
      </c>
      <c r="AI47" s="5">
        <f t="shared" si="55"/>
        <v>0</v>
      </c>
      <c r="AJ47" s="21">
        <f t="shared" ref="AJ47" si="56">AJ17</f>
        <v>-34505</v>
      </c>
    </row>
    <row r="48" spans="1:36" ht="14.25" x14ac:dyDescent="0.2">
      <c r="A48" s="4" t="s">
        <v>188</v>
      </c>
      <c r="B48" s="5">
        <v>0</v>
      </c>
      <c r="C48" s="5">
        <v>0</v>
      </c>
      <c r="D48" s="5">
        <v>0</v>
      </c>
      <c r="E48" s="5">
        <v>0</v>
      </c>
      <c r="F48" s="21">
        <f t="shared" si="44"/>
        <v>0</v>
      </c>
      <c r="G48" s="5">
        <v>0</v>
      </c>
      <c r="H48" s="5">
        <v>0</v>
      </c>
      <c r="I48" s="5">
        <v>0</v>
      </c>
      <c r="J48" s="5">
        <v>0</v>
      </c>
      <c r="K48" s="21">
        <f t="shared" si="45"/>
        <v>0</v>
      </c>
      <c r="L48" s="5">
        <v>0</v>
      </c>
      <c r="M48" s="5">
        <v>0</v>
      </c>
      <c r="N48" s="5">
        <v>0</v>
      </c>
      <c r="O48" s="5">
        <v>0</v>
      </c>
      <c r="P48" s="21">
        <f t="shared" si="46"/>
        <v>0</v>
      </c>
      <c r="Q48" s="5">
        <v>0</v>
      </c>
      <c r="R48" s="5">
        <v>0</v>
      </c>
      <c r="S48" s="5">
        <v>0</v>
      </c>
      <c r="T48" s="5">
        <v>0</v>
      </c>
      <c r="U48" s="21">
        <f t="shared" si="47"/>
        <v>0</v>
      </c>
      <c r="V48" s="5">
        <f>-V22</f>
        <v>42988</v>
      </c>
      <c r="W48" s="5">
        <f>-W22</f>
        <v>0</v>
      </c>
      <c r="X48" s="5">
        <f>-X22</f>
        <v>0</v>
      </c>
      <c r="Y48" s="5">
        <f>-Y22</f>
        <v>0</v>
      </c>
      <c r="Z48" s="21">
        <f t="shared" si="48"/>
        <v>42988</v>
      </c>
      <c r="AA48" s="5">
        <f t="shared" ref="AA48:AF48" si="57">-AA22</f>
        <v>0</v>
      </c>
      <c r="AB48" s="5">
        <f t="shared" si="57"/>
        <v>0</v>
      </c>
      <c r="AC48" s="5">
        <f t="shared" si="57"/>
        <v>0</v>
      </c>
      <c r="AD48" s="5">
        <f t="shared" si="57"/>
        <v>0</v>
      </c>
      <c r="AE48" s="21">
        <f t="shared" si="57"/>
        <v>0</v>
      </c>
      <c r="AF48" s="5">
        <f t="shared" si="57"/>
        <v>14165</v>
      </c>
      <c r="AG48" s="5">
        <f t="shared" ref="AG48:AI48" si="58">-AG22</f>
        <v>0</v>
      </c>
      <c r="AH48" s="5">
        <f t="shared" si="58"/>
        <v>0</v>
      </c>
      <c r="AI48" s="5">
        <f t="shared" si="58"/>
        <v>0</v>
      </c>
      <c r="AJ48" s="21">
        <f t="shared" ref="AJ48" si="59">-AJ22</f>
        <v>14165</v>
      </c>
    </row>
    <row r="49" spans="1:37" x14ac:dyDescent="0.2">
      <c r="A49" s="4" t="s">
        <v>90</v>
      </c>
      <c r="B49" s="5">
        <f>-B23</f>
        <v>2096</v>
      </c>
      <c r="C49" s="5">
        <f>-C23</f>
        <v>2473</v>
      </c>
      <c r="D49" s="5">
        <f>-D23</f>
        <v>2285</v>
      </c>
      <c r="E49" s="5">
        <f>-E23</f>
        <v>2285</v>
      </c>
      <c r="F49" s="21">
        <f t="shared" si="44"/>
        <v>9139</v>
      </c>
      <c r="G49" s="5">
        <f>-G23</f>
        <v>1906</v>
      </c>
      <c r="H49" s="5">
        <f>-H23</f>
        <v>1286</v>
      </c>
      <c r="I49" s="5">
        <f>-I23</f>
        <v>1596</v>
      </c>
      <c r="J49" s="5">
        <f>-J23</f>
        <v>1596</v>
      </c>
      <c r="K49" s="21">
        <f t="shared" si="45"/>
        <v>6384</v>
      </c>
      <c r="L49" s="5">
        <f>-L23</f>
        <v>1857</v>
      </c>
      <c r="M49" s="5">
        <f>-M23</f>
        <v>1908</v>
      </c>
      <c r="N49" s="5">
        <f>-N23</f>
        <v>1942</v>
      </c>
      <c r="O49" s="5">
        <f>-O23</f>
        <v>1941</v>
      </c>
      <c r="P49" s="21">
        <f t="shared" si="46"/>
        <v>7648</v>
      </c>
      <c r="Q49" s="5">
        <f>-Q23</f>
        <v>980</v>
      </c>
      <c r="R49" s="5">
        <f>-R23</f>
        <v>889</v>
      </c>
      <c r="S49" s="5">
        <f>-S23</f>
        <v>935</v>
      </c>
      <c r="T49" s="5">
        <f>-T23</f>
        <v>935</v>
      </c>
      <c r="U49" s="21">
        <f t="shared" si="47"/>
        <v>3739</v>
      </c>
      <c r="V49" s="5">
        <v>3635</v>
      </c>
      <c r="W49" s="5">
        <v>3478</v>
      </c>
      <c r="X49" s="5">
        <v>3557</v>
      </c>
      <c r="Y49" s="5">
        <v>3556</v>
      </c>
      <c r="Z49" s="21">
        <f t="shared" si="48"/>
        <v>14226</v>
      </c>
      <c r="AA49" s="5">
        <v>3414</v>
      </c>
      <c r="AB49" s="5">
        <v>3271</v>
      </c>
      <c r="AC49" s="5">
        <f t="shared" ref="AC49:AI49" si="60">-AC23</f>
        <v>3271</v>
      </c>
      <c r="AD49" s="5">
        <f t="shared" si="60"/>
        <v>3271</v>
      </c>
      <c r="AE49" s="21">
        <f t="shared" si="60"/>
        <v>13227</v>
      </c>
      <c r="AF49" s="5">
        <f t="shared" si="60"/>
        <v>1929</v>
      </c>
      <c r="AG49" s="5">
        <f t="shared" si="60"/>
        <v>1809</v>
      </c>
      <c r="AH49" s="5">
        <f t="shared" si="60"/>
        <v>1808</v>
      </c>
      <c r="AI49" s="5">
        <f t="shared" si="60"/>
        <v>2592</v>
      </c>
      <c r="AJ49" s="21">
        <f t="shared" ref="AJ49" si="61">-AJ23</f>
        <v>8138</v>
      </c>
    </row>
    <row r="50" spans="1:37" ht="14.25" x14ac:dyDescent="0.2">
      <c r="A50" s="4" t="s">
        <v>172</v>
      </c>
      <c r="B50" s="5">
        <v>0</v>
      </c>
      <c r="C50" s="5">
        <v>0</v>
      </c>
      <c r="D50" s="5">
        <v>0</v>
      </c>
      <c r="E50" s="5">
        <v>0</v>
      </c>
      <c r="F50" s="21">
        <f t="shared" ref="F50" si="62">SUM(B50:E50)</f>
        <v>0</v>
      </c>
      <c r="G50" s="5">
        <v>0</v>
      </c>
      <c r="H50" s="5">
        <v>0</v>
      </c>
      <c r="I50" s="5">
        <v>0</v>
      </c>
      <c r="J50" s="5">
        <v>0</v>
      </c>
      <c r="K50" s="21">
        <f t="shared" ref="K50" si="63">SUM(G50:J50)</f>
        <v>0</v>
      </c>
      <c r="L50" s="5">
        <v>0</v>
      </c>
      <c r="M50" s="5">
        <v>0</v>
      </c>
      <c r="N50" s="5">
        <v>0</v>
      </c>
      <c r="O50" s="5">
        <v>0</v>
      </c>
      <c r="P50" s="21">
        <f t="shared" ref="P50" si="64">SUM(L50:O50)</f>
        <v>0</v>
      </c>
      <c r="Q50" s="5">
        <v>-9176</v>
      </c>
      <c r="R50" s="5">
        <v>0</v>
      </c>
      <c r="S50" s="5">
        <v>0</v>
      </c>
      <c r="T50" s="5">
        <v>0</v>
      </c>
      <c r="U50" s="21">
        <f t="shared" si="47"/>
        <v>-9176</v>
      </c>
      <c r="V50" s="5">
        <v>0</v>
      </c>
      <c r="W50" s="5">
        <v>0</v>
      </c>
      <c r="X50" s="5">
        <v>0</v>
      </c>
      <c r="Y50" s="5">
        <v>0</v>
      </c>
      <c r="Z50" s="21">
        <f t="shared" si="48"/>
        <v>0</v>
      </c>
      <c r="AA50" s="5">
        <v>0</v>
      </c>
      <c r="AB50" s="5">
        <v>0</v>
      </c>
      <c r="AC50" s="5">
        <v>0</v>
      </c>
      <c r="AD50" s="5">
        <v>0</v>
      </c>
      <c r="AE50" s="21">
        <f>SUM(AA50:AD50)</f>
        <v>0</v>
      </c>
      <c r="AF50" s="5">
        <v>0</v>
      </c>
      <c r="AG50" s="5">
        <v>0</v>
      </c>
      <c r="AH50" s="5">
        <v>0</v>
      </c>
      <c r="AI50" s="5">
        <v>0</v>
      </c>
      <c r="AJ50" s="21">
        <f t="shared" ref="AJ50:AJ57" si="65">SUM(AF50:AI50)</f>
        <v>0</v>
      </c>
    </row>
    <row r="51" spans="1:37" x14ac:dyDescent="0.2">
      <c r="A51" s="4" t="s">
        <v>92</v>
      </c>
      <c r="B51" s="5">
        <v>0</v>
      </c>
      <c r="C51" s="5">
        <v>0</v>
      </c>
      <c r="D51" s="5">
        <v>0</v>
      </c>
      <c r="E51" s="5">
        <v>0</v>
      </c>
      <c r="F51" s="21">
        <f t="shared" si="44"/>
        <v>0</v>
      </c>
      <c r="G51" s="5">
        <v>0</v>
      </c>
      <c r="H51" s="5">
        <v>0</v>
      </c>
      <c r="I51" s="5">
        <v>0</v>
      </c>
      <c r="J51" s="5">
        <v>0</v>
      </c>
      <c r="K51" s="21">
        <f t="shared" si="45"/>
        <v>0</v>
      </c>
      <c r="L51" s="5">
        <v>1849</v>
      </c>
      <c r="M51" s="5">
        <v>0</v>
      </c>
      <c r="N51" s="5">
        <v>0</v>
      </c>
      <c r="O51" s="5">
        <v>0</v>
      </c>
      <c r="P51" s="21">
        <f t="shared" si="46"/>
        <v>1849</v>
      </c>
      <c r="Q51" s="5">
        <v>0</v>
      </c>
      <c r="R51" s="5">
        <v>0</v>
      </c>
      <c r="S51" s="5">
        <v>0</v>
      </c>
      <c r="T51" s="5">
        <v>0</v>
      </c>
      <c r="U51" s="21">
        <f t="shared" si="47"/>
        <v>0</v>
      </c>
      <c r="V51" s="5">
        <v>0</v>
      </c>
      <c r="W51" s="5">
        <v>0</v>
      </c>
      <c r="X51" s="5">
        <v>0</v>
      </c>
      <c r="Y51" s="5">
        <v>0</v>
      </c>
      <c r="Z51" s="21">
        <f t="shared" si="48"/>
        <v>0</v>
      </c>
      <c r="AA51" s="5">
        <v>0</v>
      </c>
      <c r="AB51" s="5">
        <v>0</v>
      </c>
      <c r="AC51" s="5">
        <v>0</v>
      </c>
      <c r="AD51" s="5">
        <v>0</v>
      </c>
      <c r="AE51" s="21">
        <f>SUM(AA51:AD51)</f>
        <v>0</v>
      </c>
      <c r="AF51" s="5">
        <v>0</v>
      </c>
      <c r="AG51" s="5">
        <v>0</v>
      </c>
      <c r="AH51" s="5">
        <v>0</v>
      </c>
      <c r="AI51" s="5">
        <v>0</v>
      </c>
      <c r="AJ51" s="21">
        <f t="shared" si="65"/>
        <v>0</v>
      </c>
    </row>
    <row r="52" spans="1:37" x14ac:dyDescent="0.2">
      <c r="A52" s="4" t="s">
        <v>209</v>
      </c>
      <c r="B52" s="5">
        <v>220</v>
      </c>
      <c r="C52" s="5">
        <v>802</v>
      </c>
      <c r="D52" s="5">
        <v>0</v>
      </c>
      <c r="E52" s="5">
        <v>0</v>
      </c>
      <c r="F52" s="21">
        <f t="shared" si="44"/>
        <v>1022</v>
      </c>
      <c r="G52" s="5">
        <v>0</v>
      </c>
      <c r="H52" s="5">
        <v>0</v>
      </c>
      <c r="I52" s="5">
        <v>4978</v>
      </c>
      <c r="J52" s="5">
        <v>0</v>
      </c>
      <c r="K52" s="21">
        <f t="shared" si="45"/>
        <v>4978</v>
      </c>
      <c r="L52" s="5">
        <v>0</v>
      </c>
      <c r="M52" s="5">
        <v>0</v>
      </c>
      <c r="N52" s="5">
        <v>0</v>
      </c>
      <c r="O52" s="5">
        <v>0</v>
      </c>
      <c r="P52" s="21">
        <f t="shared" si="46"/>
        <v>0</v>
      </c>
      <c r="Q52" s="5">
        <v>0</v>
      </c>
      <c r="R52" s="5">
        <v>0</v>
      </c>
      <c r="S52" s="5">
        <v>0</v>
      </c>
      <c r="T52" s="5">
        <v>0</v>
      </c>
      <c r="U52" s="21">
        <f t="shared" si="47"/>
        <v>0</v>
      </c>
      <c r="V52" s="5">
        <v>0</v>
      </c>
      <c r="W52" s="5">
        <v>0</v>
      </c>
      <c r="X52" s="5">
        <v>0</v>
      </c>
      <c r="Y52" s="5">
        <v>0</v>
      </c>
      <c r="Z52" s="21">
        <f t="shared" si="48"/>
        <v>0</v>
      </c>
      <c r="AA52" s="5">
        <v>0</v>
      </c>
      <c r="AB52" s="5">
        <v>0</v>
      </c>
      <c r="AC52" s="5">
        <v>0</v>
      </c>
      <c r="AD52" s="5">
        <v>0</v>
      </c>
      <c r="AE52" s="21">
        <f>SUM(AA52:AD52)</f>
        <v>0</v>
      </c>
      <c r="AF52" s="5">
        <v>0</v>
      </c>
      <c r="AG52" s="5">
        <v>0</v>
      </c>
      <c r="AH52" s="5">
        <v>0</v>
      </c>
      <c r="AI52" s="5">
        <f>+AI14</f>
        <v>5550</v>
      </c>
      <c r="AJ52" s="21">
        <f t="shared" si="65"/>
        <v>5550</v>
      </c>
    </row>
    <row r="53" spans="1:37" x14ac:dyDescent="0.2">
      <c r="A53" s="4" t="s">
        <v>4</v>
      </c>
      <c r="B53" s="5">
        <f>B13</f>
        <v>0</v>
      </c>
      <c r="C53" s="5">
        <f>C13</f>
        <v>0</v>
      </c>
      <c r="D53" s="5">
        <f>D13</f>
        <v>0</v>
      </c>
      <c r="E53" s="5">
        <f>E13</f>
        <v>0</v>
      </c>
      <c r="F53" s="21">
        <f t="shared" si="44"/>
        <v>0</v>
      </c>
      <c r="G53" s="5">
        <f>G13</f>
        <v>0</v>
      </c>
      <c r="H53" s="5">
        <f>H13</f>
        <v>0</v>
      </c>
      <c r="I53" s="5">
        <f>I13</f>
        <v>27</v>
      </c>
      <c r="J53" s="5">
        <f>J13</f>
        <v>3382</v>
      </c>
      <c r="K53" s="21">
        <f t="shared" si="45"/>
        <v>3409</v>
      </c>
      <c r="L53" s="5">
        <f>L13</f>
        <v>19255</v>
      </c>
      <c r="M53" s="5">
        <f>M13</f>
        <v>1018</v>
      </c>
      <c r="N53" s="5">
        <f>N13</f>
        <v>972</v>
      </c>
      <c r="O53" s="5">
        <f>O13</f>
        <v>874</v>
      </c>
      <c r="P53" s="21">
        <f t="shared" si="46"/>
        <v>22119</v>
      </c>
      <c r="Q53" s="5">
        <f>Q13</f>
        <v>0</v>
      </c>
      <c r="R53" s="5">
        <f>R13</f>
        <v>0</v>
      </c>
      <c r="S53" s="5">
        <f>S13</f>
        <v>0</v>
      </c>
      <c r="T53" s="5">
        <f>T13</f>
        <v>0</v>
      </c>
      <c r="U53" s="21">
        <f t="shared" si="47"/>
        <v>0</v>
      </c>
      <c r="V53" s="5">
        <f>V13</f>
        <v>0</v>
      </c>
      <c r="W53" s="5">
        <f>W13</f>
        <v>0</v>
      </c>
      <c r="X53" s="5">
        <f>X13</f>
        <v>0</v>
      </c>
      <c r="Y53" s="5">
        <f>Y13</f>
        <v>0</v>
      </c>
      <c r="Z53" s="21">
        <f t="shared" si="48"/>
        <v>0</v>
      </c>
      <c r="AA53" s="5">
        <f t="shared" ref="AA53:AF53" si="66">AA13</f>
        <v>0</v>
      </c>
      <c r="AB53" s="5">
        <f t="shared" si="66"/>
        <v>0</v>
      </c>
      <c r="AC53" s="5">
        <f t="shared" si="66"/>
        <v>0</v>
      </c>
      <c r="AD53" s="5">
        <f t="shared" si="66"/>
        <v>0</v>
      </c>
      <c r="AE53" s="21">
        <f t="shared" si="66"/>
        <v>0</v>
      </c>
      <c r="AF53" s="5">
        <f t="shared" si="66"/>
        <v>0</v>
      </c>
      <c r="AG53" s="5">
        <f t="shared" ref="AG53:AI53" si="67">AG13</f>
        <v>0</v>
      </c>
      <c r="AH53" s="5">
        <f t="shared" si="67"/>
        <v>0</v>
      </c>
      <c r="AI53" s="5">
        <f t="shared" si="67"/>
        <v>0</v>
      </c>
      <c r="AJ53" s="21">
        <f t="shared" si="65"/>
        <v>0</v>
      </c>
    </row>
    <row r="54" spans="1:37" x14ac:dyDescent="0.2">
      <c r="A54" s="4" t="s">
        <v>91</v>
      </c>
      <c r="B54" s="5">
        <v>0</v>
      </c>
      <c r="C54" s="5">
        <v>0</v>
      </c>
      <c r="D54" s="5">
        <v>0</v>
      </c>
      <c r="E54" s="5">
        <v>0</v>
      </c>
      <c r="F54" s="21">
        <f t="shared" si="44"/>
        <v>0</v>
      </c>
      <c r="G54" s="5">
        <f>-G15</f>
        <v>0</v>
      </c>
      <c r="H54" s="5">
        <v>-3265</v>
      </c>
      <c r="I54" s="5">
        <v>3066</v>
      </c>
      <c r="J54" s="5">
        <v>199</v>
      </c>
      <c r="K54" s="21">
        <f t="shared" si="45"/>
        <v>0</v>
      </c>
      <c r="L54" s="5">
        <v>0</v>
      </c>
      <c r="M54" s="5">
        <v>0</v>
      </c>
      <c r="N54" s="5">
        <v>0</v>
      </c>
      <c r="O54" s="5">
        <v>0</v>
      </c>
      <c r="P54" s="21">
        <f t="shared" si="46"/>
        <v>0</v>
      </c>
      <c r="Q54" s="5">
        <v>0</v>
      </c>
      <c r="R54" s="5">
        <v>0</v>
      </c>
      <c r="S54" s="5">
        <v>0</v>
      </c>
      <c r="T54" s="5">
        <v>0</v>
      </c>
      <c r="U54" s="21">
        <f t="shared" si="47"/>
        <v>0</v>
      </c>
      <c r="V54" s="5">
        <v>0</v>
      </c>
      <c r="W54" s="5">
        <v>0</v>
      </c>
      <c r="X54" s="5">
        <v>0</v>
      </c>
      <c r="Y54" s="5">
        <v>0</v>
      </c>
      <c r="Z54" s="21">
        <f t="shared" si="48"/>
        <v>0</v>
      </c>
      <c r="AA54" s="5">
        <v>0</v>
      </c>
      <c r="AB54" s="5">
        <v>0</v>
      </c>
      <c r="AC54" s="5">
        <v>0</v>
      </c>
      <c r="AD54" s="5">
        <v>0</v>
      </c>
      <c r="AE54" s="21">
        <f>SUM(AA54:AD54)</f>
        <v>0</v>
      </c>
      <c r="AF54" s="5">
        <v>0</v>
      </c>
      <c r="AG54" s="5">
        <v>0</v>
      </c>
      <c r="AH54" s="5">
        <v>0</v>
      </c>
      <c r="AI54" s="5">
        <v>0</v>
      </c>
      <c r="AJ54" s="21">
        <f t="shared" si="65"/>
        <v>0</v>
      </c>
    </row>
    <row r="55" spans="1:37" x14ac:dyDescent="0.2">
      <c r="A55" s="4" t="s">
        <v>5</v>
      </c>
      <c r="B55" s="5">
        <f>B16</f>
        <v>0</v>
      </c>
      <c r="C55" s="5">
        <f>C16</f>
        <v>48522</v>
      </c>
      <c r="D55" s="5">
        <f>D16</f>
        <v>0</v>
      </c>
      <c r="E55" s="5">
        <f>E16</f>
        <v>0</v>
      </c>
      <c r="F55" s="21">
        <f t="shared" si="44"/>
        <v>48522</v>
      </c>
      <c r="G55" s="5">
        <f>G16</f>
        <v>0</v>
      </c>
      <c r="H55" s="5">
        <f>H16</f>
        <v>0</v>
      </c>
      <c r="I55" s="5">
        <f>I16</f>
        <v>0</v>
      </c>
      <c r="J55" s="5">
        <f>J16</f>
        <v>0</v>
      </c>
      <c r="K55" s="21">
        <f t="shared" si="45"/>
        <v>0</v>
      </c>
      <c r="L55" s="5">
        <f>L16</f>
        <v>0</v>
      </c>
      <c r="M55" s="5">
        <f>M16</f>
        <v>0</v>
      </c>
      <c r="N55" s="5">
        <f>N16</f>
        <v>0</v>
      </c>
      <c r="O55" s="5">
        <f>O16</f>
        <v>0</v>
      </c>
      <c r="P55" s="21">
        <f t="shared" si="46"/>
        <v>0</v>
      </c>
      <c r="Q55" s="5">
        <f>Q16</f>
        <v>0</v>
      </c>
      <c r="R55" s="5">
        <f>R16</f>
        <v>0</v>
      </c>
      <c r="S55" s="5">
        <f>S16</f>
        <v>0</v>
      </c>
      <c r="T55" s="5">
        <f>T16</f>
        <v>0</v>
      </c>
      <c r="U55" s="21">
        <f t="shared" si="47"/>
        <v>0</v>
      </c>
      <c r="V55" s="5">
        <f>V16</f>
        <v>0</v>
      </c>
      <c r="W55" s="5">
        <f>W16</f>
        <v>0</v>
      </c>
      <c r="X55" s="5">
        <f>X16</f>
        <v>0</v>
      </c>
      <c r="Y55" s="5">
        <f>Y16</f>
        <v>0</v>
      </c>
      <c r="Z55" s="21">
        <f t="shared" si="48"/>
        <v>0</v>
      </c>
      <c r="AA55" s="5">
        <f t="shared" ref="AA55:AF55" si="68">AA16</f>
        <v>0</v>
      </c>
      <c r="AB55" s="5">
        <f t="shared" si="68"/>
        <v>0</v>
      </c>
      <c r="AC55" s="5">
        <f t="shared" si="68"/>
        <v>0</v>
      </c>
      <c r="AD55" s="5">
        <f t="shared" si="68"/>
        <v>0</v>
      </c>
      <c r="AE55" s="21">
        <f t="shared" si="68"/>
        <v>0</v>
      </c>
      <c r="AF55" s="5">
        <f t="shared" si="68"/>
        <v>0</v>
      </c>
      <c r="AG55" s="5">
        <f t="shared" ref="AG55:AI55" si="69">AG16</f>
        <v>0</v>
      </c>
      <c r="AH55" s="5">
        <f t="shared" si="69"/>
        <v>0</v>
      </c>
      <c r="AI55" s="5">
        <f t="shared" si="69"/>
        <v>0</v>
      </c>
      <c r="AJ55" s="21">
        <f t="shared" si="65"/>
        <v>0</v>
      </c>
    </row>
    <row r="56" spans="1:37" x14ac:dyDescent="0.2">
      <c r="A56" s="4" t="s">
        <v>177</v>
      </c>
      <c r="B56" s="5">
        <v>-1</v>
      </c>
      <c r="C56" s="5">
        <v>-4</v>
      </c>
      <c r="D56" s="5">
        <v>0</v>
      </c>
      <c r="E56" s="5">
        <v>-1</v>
      </c>
      <c r="F56" s="21">
        <f t="shared" si="44"/>
        <v>-6</v>
      </c>
      <c r="G56" s="5">
        <v>-14</v>
      </c>
      <c r="H56" s="5">
        <v>30</v>
      </c>
      <c r="I56" s="5">
        <v>0</v>
      </c>
      <c r="J56" s="5">
        <v>188</v>
      </c>
      <c r="K56" s="21">
        <f t="shared" si="45"/>
        <v>204</v>
      </c>
      <c r="L56" s="5">
        <v>-4</v>
      </c>
      <c r="M56" s="5">
        <v>3</v>
      </c>
      <c r="N56" s="5">
        <v>12</v>
      </c>
      <c r="O56" s="5">
        <v>714</v>
      </c>
      <c r="P56" s="21">
        <f t="shared" si="46"/>
        <v>725</v>
      </c>
      <c r="Q56" s="5">
        <v>-32</v>
      </c>
      <c r="R56" s="5">
        <v>-30</v>
      </c>
      <c r="S56" s="5">
        <v>-198</v>
      </c>
      <c r="T56" s="5">
        <v>1125</v>
      </c>
      <c r="U56" s="21">
        <f t="shared" si="47"/>
        <v>865</v>
      </c>
      <c r="V56" s="5">
        <v>-192</v>
      </c>
      <c r="W56" s="5">
        <v>7</v>
      </c>
      <c r="X56" s="5">
        <v>-11</v>
      </c>
      <c r="Y56" s="5">
        <v>185</v>
      </c>
      <c r="Z56" s="21">
        <f t="shared" si="48"/>
        <v>-11</v>
      </c>
      <c r="AA56" s="5">
        <v>34</v>
      </c>
      <c r="AB56" s="5">
        <v>527</v>
      </c>
      <c r="AC56" s="5">
        <v>1139</v>
      </c>
      <c r="AD56" s="5">
        <v>21</v>
      </c>
      <c r="AE56" s="21">
        <f>SUM(AA56:AD56)</f>
        <v>1721</v>
      </c>
      <c r="AF56" s="5">
        <v>-3</v>
      </c>
      <c r="AG56" s="5">
        <v>-13</v>
      </c>
      <c r="AH56" s="5">
        <v>-23</v>
      </c>
      <c r="AI56" s="5">
        <v>121</v>
      </c>
      <c r="AJ56" s="21">
        <f t="shared" si="65"/>
        <v>82</v>
      </c>
    </row>
    <row r="57" spans="1:37" x14ac:dyDescent="0.2">
      <c r="A57" s="4" t="s">
        <v>200</v>
      </c>
      <c r="B57" s="5"/>
      <c r="C57" s="5"/>
      <c r="D57" s="5"/>
      <c r="E57" s="5"/>
      <c r="F57" s="21"/>
      <c r="G57" s="5"/>
      <c r="H57" s="5"/>
      <c r="I57" s="5"/>
      <c r="J57" s="5"/>
      <c r="K57" s="21"/>
      <c r="L57" s="5"/>
      <c r="M57" s="5"/>
      <c r="N57" s="5"/>
      <c r="O57" s="5"/>
      <c r="P57" s="21"/>
      <c r="Q57" s="5"/>
      <c r="R57" s="5"/>
      <c r="S57" s="5"/>
      <c r="T57" s="5"/>
      <c r="U57" s="21"/>
      <c r="V57" s="5"/>
      <c r="W57" s="5"/>
      <c r="X57" s="5"/>
      <c r="Y57" s="5"/>
      <c r="Z57" s="21"/>
      <c r="AA57" s="5">
        <v>0</v>
      </c>
      <c r="AB57" s="5">
        <v>0</v>
      </c>
      <c r="AC57" s="5">
        <v>0</v>
      </c>
      <c r="AD57" s="5">
        <v>0</v>
      </c>
      <c r="AE57" s="21">
        <v>0</v>
      </c>
      <c r="AF57" s="5">
        <v>0</v>
      </c>
      <c r="AG57" s="5">
        <v>0</v>
      </c>
      <c r="AH57" s="5">
        <f>-AH24</f>
        <v>1</v>
      </c>
      <c r="AI57" s="5">
        <f>-AI24</f>
        <v>66</v>
      </c>
      <c r="AJ57" s="21">
        <f t="shared" si="65"/>
        <v>67</v>
      </c>
    </row>
    <row r="58" spans="1:37" ht="13.5" thickBot="1" x14ac:dyDescent="0.25">
      <c r="A58" s="1" t="s">
        <v>81</v>
      </c>
      <c r="B58" s="10">
        <f t="shared" ref="B58:N58" si="70">SUM(B40:B56)</f>
        <v>17660</v>
      </c>
      <c r="C58" s="10">
        <f t="shared" si="70"/>
        <v>28353</v>
      </c>
      <c r="D58" s="10">
        <f t="shared" si="70"/>
        <v>51024</v>
      </c>
      <c r="E58" s="10">
        <f t="shared" si="70"/>
        <v>37416</v>
      </c>
      <c r="F58" s="25">
        <f t="shared" si="70"/>
        <v>134453</v>
      </c>
      <c r="G58" s="10">
        <f t="shared" si="70"/>
        <v>36920</v>
      </c>
      <c r="H58" s="10">
        <f t="shared" si="70"/>
        <v>46077</v>
      </c>
      <c r="I58" s="10">
        <f t="shared" si="70"/>
        <v>62235</v>
      </c>
      <c r="J58" s="10">
        <f t="shared" si="70"/>
        <v>50525</v>
      </c>
      <c r="K58" s="25">
        <f t="shared" si="70"/>
        <v>195757</v>
      </c>
      <c r="L58" s="10">
        <f t="shared" si="70"/>
        <v>64732</v>
      </c>
      <c r="M58" s="10">
        <f t="shared" si="70"/>
        <v>94208</v>
      </c>
      <c r="N58" s="10">
        <f t="shared" si="70"/>
        <v>101810</v>
      </c>
      <c r="O58" s="10">
        <f t="shared" ref="O58" si="71">SUM(O40:O56)</f>
        <v>36443</v>
      </c>
      <c r="P58" s="25">
        <f t="shared" ref="P58:U58" si="72">SUM(P40:P56)</f>
        <v>297193</v>
      </c>
      <c r="Q58" s="10">
        <f t="shared" si="72"/>
        <v>28252</v>
      </c>
      <c r="R58" s="10">
        <f t="shared" si="72"/>
        <v>49080</v>
      </c>
      <c r="S58" s="10">
        <f t="shared" si="72"/>
        <v>55012</v>
      </c>
      <c r="T58" s="10">
        <f t="shared" si="72"/>
        <v>46599</v>
      </c>
      <c r="U58" s="25">
        <f t="shared" si="72"/>
        <v>178943</v>
      </c>
      <c r="V58" s="10">
        <f t="shared" ref="V58:W58" si="73">SUM(V40:V56)</f>
        <v>47571</v>
      </c>
      <c r="W58" s="10">
        <f t="shared" si="73"/>
        <v>35373</v>
      </c>
      <c r="X58" s="10">
        <f t="shared" ref="X58:AA58" si="74">SUM(X40:X56)</f>
        <v>135386</v>
      </c>
      <c r="Y58" s="10">
        <f t="shared" si="74"/>
        <v>163898</v>
      </c>
      <c r="Z58" s="25">
        <f t="shared" si="74"/>
        <v>382228</v>
      </c>
      <c r="AA58" s="10">
        <f t="shared" si="74"/>
        <v>194986</v>
      </c>
      <c r="AB58" s="10">
        <f t="shared" ref="AB58:AC58" si="75">SUM(AB40:AB56)</f>
        <v>274984</v>
      </c>
      <c r="AC58" s="10">
        <f t="shared" si="75"/>
        <v>107183</v>
      </c>
      <c r="AD58" s="10">
        <f t="shared" ref="AD58:AE58" si="76">SUM(AD40:AD56)</f>
        <v>75718</v>
      </c>
      <c r="AE58" s="25">
        <f t="shared" si="76"/>
        <v>652871</v>
      </c>
      <c r="AF58" s="10">
        <f t="shared" ref="AF58:AG58" si="77">SUM(AF40:AF56)</f>
        <v>245562</v>
      </c>
      <c r="AG58" s="10">
        <f t="shared" si="77"/>
        <v>175170</v>
      </c>
      <c r="AH58" s="10">
        <f>SUM(AH40:AH57)</f>
        <v>101090</v>
      </c>
      <c r="AI58" s="10">
        <f>SUM(AI40:AI57)</f>
        <v>52333</v>
      </c>
      <c r="AJ58" s="25">
        <f>SUM(AJ40:AJ57)</f>
        <v>574155</v>
      </c>
      <c r="AK58" s="90"/>
    </row>
    <row r="59" spans="1:37" ht="13.5" thickTop="1" x14ac:dyDescent="0.2">
      <c r="A59" s="4"/>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7" x14ac:dyDescent="0.2">
      <c r="A60" s="1" t="s">
        <v>8</v>
      </c>
      <c r="B60" s="30">
        <f>B27</f>
        <v>157</v>
      </c>
      <c r="C60" s="30">
        <f>C27</f>
        <v>-31238</v>
      </c>
      <c r="D60" s="30">
        <f>D27</f>
        <v>27646</v>
      </c>
      <c r="E60" s="30">
        <f>E27</f>
        <v>14373</v>
      </c>
      <c r="F60" s="29">
        <f>SUM(B60:E60)</f>
        <v>10938</v>
      </c>
      <c r="G60" s="30">
        <f>G27</f>
        <v>16921</v>
      </c>
      <c r="H60" s="30">
        <f>H27</f>
        <v>24244</v>
      </c>
      <c r="I60" s="30">
        <f>I27</f>
        <v>33700</v>
      </c>
      <c r="J60" s="30">
        <f>J27</f>
        <v>11588</v>
      </c>
      <c r="K60" s="29">
        <f>SUM(G60:J60)</f>
        <v>86453</v>
      </c>
      <c r="L60" s="30">
        <f>L27</f>
        <v>14597</v>
      </c>
      <c r="M60" s="30">
        <f>M27</f>
        <v>46148</v>
      </c>
      <c r="N60" s="30">
        <f>N27</f>
        <v>60336</v>
      </c>
      <c r="O60" s="30">
        <f>O27</f>
        <v>1799</v>
      </c>
      <c r="P60" s="29">
        <f>SUM(L60:O60)</f>
        <v>122880</v>
      </c>
      <c r="Q60" s="30">
        <f>Q27</f>
        <v>6560</v>
      </c>
      <c r="R60" s="30">
        <f>R27</f>
        <v>17137</v>
      </c>
      <c r="S60" s="30">
        <f>S27</f>
        <v>20565</v>
      </c>
      <c r="T60" s="30">
        <f>T27</f>
        <v>11399</v>
      </c>
      <c r="U60" s="29">
        <f>SUM(Q60:T60)</f>
        <v>55661</v>
      </c>
      <c r="V60" s="30">
        <f>V27</f>
        <v>-16832</v>
      </c>
      <c r="W60" s="30">
        <f>W27</f>
        <v>2638</v>
      </c>
      <c r="X60" s="30">
        <f>X27</f>
        <v>81007</v>
      </c>
      <c r="Y60" s="30">
        <f>Y27</f>
        <v>100017</v>
      </c>
      <c r="Z60" s="29">
        <f>SUM(V60:Y60)</f>
        <v>166830</v>
      </c>
      <c r="AA60" s="30">
        <f t="shared" ref="AA60:AF60" si="78">AA27</f>
        <v>131106</v>
      </c>
      <c r="AB60" s="30">
        <f t="shared" si="78"/>
        <v>187905</v>
      </c>
      <c r="AC60" s="30">
        <f t="shared" si="78"/>
        <v>65667</v>
      </c>
      <c r="AD60" s="30">
        <f t="shared" si="78"/>
        <v>39182</v>
      </c>
      <c r="AE60" s="29">
        <f t="shared" si="78"/>
        <v>423860</v>
      </c>
      <c r="AF60" s="30">
        <f t="shared" si="78"/>
        <v>163880</v>
      </c>
      <c r="AG60" s="30">
        <f t="shared" ref="AG60:AI60" si="79">AG27</f>
        <v>120222</v>
      </c>
      <c r="AH60" s="30">
        <f t="shared" si="79"/>
        <v>45955</v>
      </c>
      <c r="AI60" s="30">
        <f t="shared" si="79"/>
        <v>3843</v>
      </c>
      <c r="AJ60" s="29">
        <f t="shared" ref="AJ60" si="80">AJ27</f>
        <v>333900</v>
      </c>
    </row>
    <row r="61" spans="1:37" ht="14.25" x14ac:dyDescent="0.2">
      <c r="A61" s="4" t="s">
        <v>196</v>
      </c>
      <c r="B61" s="5">
        <v>0</v>
      </c>
      <c r="C61" s="5">
        <v>0</v>
      </c>
      <c r="D61" s="5">
        <v>0</v>
      </c>
      <c r="E61" s="5">
        <v>0</v>
      </c>
      <c r="F61" s="21">
        <f t="shared" ref="F61:F64" si="81">SUM(B61:E61)</f>
        <v>0</v>
      </c>
      <c r="G61" s="5">
        <v>0</v>
      </c>
      <c r="H61" s="5">
        <v>0</v>
      </c>
      <c r="I61" s="5">
        <v>0</v>
      </c>
      <c r="J61" s="5">
        <v>0</v>
      </c>
      <c r="K61" s="21">
        <f t="shared" ref="K61:K64" si="82">SUM(G61:J61)</f>
        <v>0</v>
      </c>
      <c r="L61" s="5">
        <v>0</v>
      </c>
      <c r="M61" s="5">
        <v>0</v>
      </c>
      <c r="N61" s="5">
        <v>0</v>
      </c>
      <c r="O61" s="5">
        <v>0</v>
      </c>
      <c r="P61" s="21">
        <f t="shared" ref="P61:P64" si="83">SUM(L61:O61)</f>
        <v>0</v>
      </c>
      <c r="Q61" s="5">
        <v>0</v>
      </c>
      <c r="R61" s="5">
        <v>0</v>
      </c>
      <c r="S61" s="5">
        <v>0</v>
      </c>
      <c r="T61" s="5">
        <v>0</v>
      </c>
      <c r="U61" s="21">
        <f t="shared" ref="U61:U72" si="84">SUM(Q61:T61)</f>
        <v>0</v>
      </c>
      <c r="V61" s="5">
        <v>0</v>
      </c>
      <c r="W61" s="5">
        <v>0</v>
      </c>
      <c r="X61" s="5">
        <v>0</v>
      </c>
      <c r="Y61" s="5">
        <v>0</v>
      </c>
      <c r="Z61" s="21">
        <f t="shared" ref="Z61:Z72" si="85">SUM(V61:Y61)</f>
        <v>0</v>
      </c>
      <c r="AA61" s="5">
        <v>0</v>
      </c>
      <c r="AB61" s="5">
        <v>0</v>
      </c>
      <c r="AC61" s="5">
        <v>-3252</v>
      </c>
      <c r="AD61" s="5">
        <v>748</v>
      </c>
      <c r="AE61" s="21">
        <f>SUM(AA61:AD61)</f>
        <v>-2504</v>
      </c>
      <c r="AF61" s="5">
        <v>204.5</v>
      </c>
      <c r="AG61" s="5">
        <v>-7351.4</v>
      </c>
      <c r="AH61" s="88">
        <v>-18559</v>
      </c>
      <c r="AI61" s="5">
        <v>0</v>
      </c>
      <c r="AJ61" s="21">
        <f>SUM(AF61:AI61)</f>
        <v>-25705.9</v>
      </c>
    </row>
    <row r="62" spans="1:37" x14ac:dyDescent="0.2">
      <c r="A62" s="4" t="s">
        <v>140</v>
      </c>
      <c r="B62" s="5">
        <v>0</v>
      </c>
      <c r="C62" s="5">
        <v>0</v>
      </c>
      <c r="D62" s="5">
        <v>0</v>
      </c>
      <c r="E62" s="5">
        <v>0</v>
      </c>
      <c r="F62" s="21">
        <f t="shared" si="81"/>
        <v>0</v>
      </c>
      <c r="G62" s="5">
        <v>0</v>
      </c>
      <c r="H62" s="5">
        <v>0</v>
      </c>
      <c r="I62" s="5">
        <v>0</v>
      </c>
      <c r="J62" s="5">
        <v>0</v>
      </c>
      <c r="K62" s="21">
        <f t="shared" si="82"/>
        <v>0</v>
      </c>
      <c r="L62" s="5">
        <v>0</v>
      </c>
      <c r="M62" s="5">
        <v>0</v>
      </c>
      <c r="N62" s="5">
        <v>0</v>
      </c>
      <c r="O62" s="5">
        <v>0</v>
      </c>
      <c r="P62" s="21">
        <f t="shared" si="83"/>
        <v>0</v>
      </c>
      <c r="Q62" s="5">
        <v>5512</v>
      </c>
      <c r="R62" s="5">
        <v>0</v>
      </c>
      <c r="S62" s="5">
        <v>0</v>
      </c>
      <c r="T62" s="5">
        <v>0</v>
      </c>
      <c r="U62" s="21">
        <f t="shared" si="84"/>
        <v>5512</v>
      </c>
      <c r="V62" s="5">
        <v>0</v>
      </c>
      <c r="W62" s="5">
        <v>0</v>
      </c>
      <c r="X62" s="5">
        <v>0</v>
      </c>
      <c r="Y62" s="5">
        <v>0</v>
      </c>
      <c r="Z62" s="21">
        <f t="shared" si="85"/>
        <v>0</v>
      </c>
      <c r="AA62" s="5">
        <v>0</v>
      </c>
      <c r="AB62" s="5">
        <v>0</v>
      </c>
      <c r="AC62" s="5">
        <v>0</v>
      </c>
      <c r="AD62" s="5">
        <v>0</v>
      </c>
      <c r="AE62" s="21">
        <f t="shared" ref="AE62:AE72" si="86">SUM(AA62:AD62)</f>
        <v>0</v>
      </c>
      <c r="AF62" s="5">
        <v>0</v>
      </c>
      <c r="AG62" s="5">
        <v>0</v>
      </c>
      <c r="AH62" s="5">
        <v>0</v>
      </c>
      <c r="AI62" s="5">
        <v>0</v>
      </c>
      <c r="AJ62" s="21">
        <f t="shared" ref="AJ62:AJ72" si="87">SUM(AF62:AI62)</f>
        <v>0</v>
      </c>
    </row>
    <row r="63" spans="1:37" ht="14.25" x14ac:dyDescent="0.2">
      <c r="A63" s="4" t="s">
        <v>187</v>
      </c>
      <c r="B63" s="5">
        <v>0</v>
      </c>
      <c r="C63" s="5">
        <v>0</v>
      </c>
      <c r="D63" s="5">
        <v>0</v>
      </c>
      <c r="E63" s="5">
        <v>0</v>
      </c>
      <c r="F63" s="21">
        <f t="shared" si="81"/>
        <v>0</v>
      </c>
      <c r="G63" s="5">
        <v>0</v>
      </c>
      <c r="H63" s="5">
        <v>0</v>
      </c>
      <c r="I63" s="5">
        <v>0</v>
      </c>
      <c r="J63" s="5">
        <v>0</v>
      </c>
      <c r="K63" s="21">
        <f t="shared" si="82"/>
        <v>0</v>
      </c>
      <c r="L63" s="5">
        <v>0</v>
      </c>
      <c r="M63" s="5">
        <v>0</v>
      </c>
      <c r="N63" s="5">
        <v>0</v>
      </c>
      <c r="O63" s="5">
        <v>0</v>
      </c>
      <c r="P63" s="21">
        <f t="shared" si="83"/>
        <v>0</v>
      </c>
      <c r="Q63" s="5">
        <v>0</v>
      </c>
      <c r="R63" s="5">
        <v>0</v>
      </c>
      <c r="S63" s="5">
        <v>0</v>
      </c>
      <c r="T63" s="5">
        <v>0</v>
      </c>
      <c r="U63" s="21">
        <f t="shared" si="84"/>
        <v>0</v>
      </c>
      <c r="V63" s="5">
        <v>31811</v>
      </c>
      <c r="W63" s="5">
        <v>0</v>
      </c>
      <c r="X63" s="5">
        <v>0</v>
      </c>
      <c r="Y63" s="5">
        <v>0</v>
      </c>
      <c r="Z63" s="21">
        <f t="shared" si="85"/>
        <v>31811</v>
      </c>
      <c r="AA63" s="5">
        <v>0</v>
      </c>
      <c r="AB63" s="5">
        <v>0</v>
      </c>
      <c r="AC63" s="5">
        <v>0</v>
      </c>
      <c r="AD63" s="5">
        <v>0</v>
      </c>
      <c r="AE63" s="21">
        <f t="shared" si="86"/>
        <v>0</v>
      </c>
      <c r="AF63" s="5">
        <v>10553</v>
      </c>
      <c r="AG63" s="5">
        <v>0</v>
      </c>
      <c r="AH63" s="5">
        <v>0</v>
      </c>
      <c r="AI63" s="5">
        <v>0</v>
      </c>
      <c r="AJ63" s="21">
        <f t="shared" si="87"/>
        <v>10553</v>
      </c>
    </row>
    <row r="64" spans="1:37" ht="14.25" x14ac:dyDescent="0.2">
      <c r="A64" s="4" t="s">
        <v>171</v>
      </c>
      <c r="B64" s="5">
        <v>0</v>
      </c>
      <c r="C64" s="5">
        <v>0</v>
      </c>
      <c r="D64" s="5">
        <v>0</v>
      </c>
      <c r="E64" s="5">
        <v>0</v>
      </c>
      <c r="F64" s="21">
        <f t="shared" si="81"/>
        <v>0</v>
      </c>
      <c r="G64" s="5">
        <v>0</v>
      </c>
      <c r="H64" s="5">
        <v>0</v>
      </c>
      <c r="I64" s="5">
        <v>0</v>
      </c>
      <c r="J64" s="5">
        <v>0</v>
      </c>
      <c r="K64" s="21">
        <f t="shared" si="82"/>
        <v>0</v>
      </c>
      <c r="L64" s="5">
        <v>0</v>
      </c>
      <c r="M64" s="5">
        <v>0</v>
      </c>
      <c r="N64" s="5">
        <v>0</v>
      </c>
      <c r="O64" s="5">
        <v>0</v>
      </c>
      <c r="P64" s="21">
        <f t="shared" si="83"/>
        <v>0</v>
      </c>
      <c r="Q64" s="5">
        <v>-6790</v>
      </c>
      <c r="R64" s="5">
        <v>0</v>
      </c>
      <c r="S64" s="5">
        <v>0</v>
      </c>
      <c r="T64" s="5">
        <v>0</v>
      </c>
      <c r="U64" s="21">
        <f t="shared" si="84"/>
        <v>-6790</v>
      </c>
      <c r="V64" s="5">
        <v>0</v>
      </c>
      <c r="W64" s="5">
        <v>0</v>
      </c>
      <c r="X64" s="5">
        <v>0</v>
      </c>
      <c r="Y64" s="5">
        <v>0</v>
      </c>
      <c r="Z64" s="21">
        <f t="shared" si="85"/>
        <v>0</v>
      </c>
      <c r="AA64" s="5">
        <v>0</v>
      </c>
      <c r="AB64" s="5">
        <v>0</v>
      </c>
      <c r="AC64" s="5">
        <v>0</v>
      </c>
      <c r="AD64" s="5">
        <v>0</v>
      </c>
      <c r="AE64" s="21">
        <f t="shared" si="86"/>
        <v>0</v>
      </c>
      <c r="AF64" s="5">
        <v>0</v>
      </c>
      <c r="AG64" s="5">
        <v>0</v>
      </c>
      <c r="AH64" s="5">
        <v>0</v>
      </c>
      <c r="AI64" s="5">
        <v>0</v>
      </c>
      <c r="AJ64" s="21">
        <f t="shared" si="87"/>
        <v>0</v>
      </c>
    </row>
    <row r="65" spans="1:36" x14ac:dyDescent="0.2">
      <c r="A65" s="4" t="s">
        <v>134</v>
      </c>
      <c r="B65" s="5">
        <v>0</v>
      </c>
      <c r="C65" s="5">
        <v>36718</v>
      </c>
      <c r="D65" s="5">
        <v>0</v>
      </c>
      <c r="E65" s="5">
        <v>0</v>
      </c>
      <c r="F65" s="21">
        <f t="shared" ref="F65:F72" si="88">SUM(B65:E65)</f>
        <v>36718</v>
      </c>
      <c r="G65" s="5">
        <v>0</v>
      </c>
      <c r="H65" s="5">
        <v>0</v>
      </c>
      <c r="I65" s="5">
        <v>0</v>
      </c>
      <c r="J65" s="5">
        <v>0</v>
      </c>
      <c r="K65" s="21">
        <f t="shared" ref="K65:K72" si="89">SUM(G65:J65)</f>
        <v>0</v>
      </c>
      <c r="L65" s="5">
        <v>0</v>
      </c>
      <c r="M65" s="5">
        <v>0</v>
      </c>
      <c r="N65" s="5">
        <v>0</v>
      </c>
      <c r="O65" s="5">
        <v>0</v>
      </c>
      <c r="P65" s="21">
        <f t="shared" ref="P65:P72" si="90">SUM(L65:O65)</f>
        <v>0</v>
      </c>
      <c r="Q65" s="5">
        <v>0</v>
      </c>
      <c r="R65" s="5">
        <v>0</v>
      </c>
      <c r="S65" s="5">
        <v>0</v>
      </c>
      <c r="T65" s="5">
        <v>0</v>
      </c>
      <c r="U65" s="21">
        <f t="shared" si="84"/>
        <v>0</v>
      </c>
      <c r="V65" s="5">
        <v>0</v>
      </c>
      <c r="W65" s="5">
        <v>0</v>
      </c>
      <c r="X65" s="5">
        <v>0</v>
      </c>
      <c r="Y65" s="5">
        <v>0</v>
      </c>
      <c r="Z65" s="21">
        <f t="shared" si="85"/>
        <v>0</v>
      </c>
      <c r="AA65" s="5">
        <v>0</v>
      </c>
      <c r="AB65" s="5">
        <v>0</v>
      </c>
      <c r="AC65" s="5">
        <v>0</v>
      </c>
      <c r="AD65" s="5">
        <v>0</v>
      </c>
      <c r="AE65" s="21">
        <f t="shared" si="86"/>
        <v>0</v>
      </c>
      <c r="AF65" s="5">
        <v>0</v>
      </c>
      <c r="AG65" s="5">
        <v>0</v>
      </c>
      <c r="AH65" s="5">
        <v>0</v>
      </c>
      <c r="AI65" s="5">
        <v>0</v>
      </c>
      <c r="AJ65" s="21">
        <f t="shared" si="87"/>
        <v>0</v>
      </c>
    </row>
    <row r="66" spans="1:36" x14ac:dyDescent="0.2">
      <c r="A66" s="4" t="s">
        <v>208</v>
      </c>
      <c r="B66" s="5">
        <v>134</v>
      </c>
      <c r="C66" s="5">
        <v>489</v>
      </c>
      <c r="D66" s="5">
        <v>0</v>
      </c>
      <c r="E66" s="5">
        <v>0</v>
      </c>
      <c r="F66" s="21">
        <f t="shared" si="88"/>
        <v>623</v>
      </c>
      <c r="G66" s="5">
        <v>0</v>
      </c>
      <c r="H66" s="5">
        <v>0</v>
      </c>
      <c r="I66" s="5">
        <v>3037</v>
      </c>
      <c r="J66" s="5">
        <v>0</v>
      </c>
      <c r="K66" s="21">
        <f t="shared" si="89"/>
        <v>3037</v>
      </c>
      <c r="L66" s="5">
        <v>0</v>
      </c>
      <c r="M66" s="5">
        <v>0</v>
      </c>
      <c r="N66" s="5">
        <v>0</v>
      </c>
      <c r="O66" s="5">
        <v>0</v>
      </c>
      <c r="P66" s="21">
        <f t="shared" si="90"/>
        <v>0</v>
      </c>
      <c r="Q66" s="5">
        <v>0</v>
      </c>
      <c r="R66" s="5">
        <v>0</v>
      </c>
      <c r="S66" s="5">
        <v>0</v>
      </c>
      <c r="T66" s="5">
        <v>0</v>
      </c>
      <c r="U66" s="21">
        <f t="shared" si="84"/>
        <v>0</v>
      </c>
      <c r="V66" s="5">
        <v>0</v>
      </c>
      <c r="W66" s="5">
        <v>0</v>
      </c>
      <c r="X66" s="5">
        <v>0</v>
      </c>
      <c r="Y66" s="5">
        <v>0</v>
      </c>
      <c r="Z66" s="21">
        <f t="shared" si="85"/>
        <v>0</v>
      </c>
      <c r="AA66" s="5">
        <v>0</v>
      </c>
      <c r="AB66" s="5">
        <v>0</v>
      </c>
      <c r="AC66" s="5">
        <v>0</v>
      </c>
      <c r="AD66" s="5">
        <v>0</v>
      </c>
      <c r="AE66" s="21">
        <f t="shared" si="86"/>
        <v>0</v>
      </c>
      <c r="AF66" s="5">
        <v>0</v>
      </c>
      <c r="AG66" s="5">
        <v>0</v>
      </c>
      <c r="AH66" s="5">
        <v>0</v>
      </c>
      <c r="AI66" s="5">
        <v>4135</v>
      </c>
      <c r="AJ66" s="21">
        <f t="shared" si="87"/>
        <v>4135</v>
      </c>
    </row>
    <row r="67" spans="1:36" x14ac:dyDescent="0.2">
      <c r="A67" s="4" t="s">
        <v>110</v>
      </c>
      <c r="B67" s="5">
        <v>0</v>
      </c>
      <c r="C67" s="5">
        <v>0</v>
      </c>
      <c r="D67" s="5">
        <v>0</v>
      </c>
      <c r="E67" s="5">
        <v>0</v>
      </c>
      <c r="F67" s="21">
        <f t="shared" si="88"/>
        <v>0</v>
      </c>
      <c r="G67" s="5">
        <v>0</v>
      </c>
      <c r="H67" s="5">
        <v>-1992</v>
      </c>
      <c r="I67" s="5">
        <v>1870</v>
      </c>
      <c r="J67" s="5">
        <v>122</v>
      </c>
      <c r="K67" s="21">
        <f t="shared" si="89"/>
        <v>0</v>
      </c>
      <c r="L67" s="5">
        <v>0</v>
      </c>
      <c r="M67" s="5">
        <v>0</v>
      </c>
      <c r="N67" s="5">
        <v>0</v>
      </c>
      <c r="O67" s="5">
        <v>0</v>
      </c>
      <c r="P67" s="21">
        <f t="shared" si="90"/>
        <v>0</v>
      </c>
      <c r="Q67" s="5">
        <v>0</v>
      </c>
      <c r="R67" s="5">
        <v>0</v>
      </c>
      <c r="S67" s="5">
        <v>0</v>
      </c>
      <c r="T67" s="5">
        <v>0</v>
      </c>
      <c r="U67" s="21">
        <f t="shared" si="84"/>
        <v>0</v>
      </c>
      <c r="V67" s="5">
        <v>0</v>
      </c>
      <c r="W67" s="5">
        <v>0</v>
      </c>
      <c r="X67" s="5">
        <v>0</v>
      </c>
      <c r="Y67" s="5">
        <v>0</v>
      </c>
      <c r="Z67" s="21">
        <f t="shared" si="85"/>
        <v>0</v>
      </c>
      <c r="AA67" s="5">
        <v>0</v>
      </c>
      <c r="AB67" s="5">
        <v>0</v>
      </c>
      <c r="AC67" s="5">
        <v>0</v>
      </c>
      <c r="AD67" s="5">
        <v>0</v>
      </c>
      <c r="AE67" s="21">
        <f t="shared" si="86"/>
        <v>0</v>
      </c>
      <c r="AF67" s="5">
        <v>0</v>
      </c>
      <c r="AG67" s="5">
        <v>0</v>
      </c>
      <c r="AH67" s="5">
        <v>0</v>
      </c>
      <c r="AI67" s="5">
        <v>0</v>
      </c>
      <c r="AJ67" s="21">
        <f t="shared" si="87"/>
        <v>0</v>
      </c>
    </row>
    <row r="68" spans="1:36" x14ac:dyDescent="0.2">
      <c r="A68" s="4" t="s">
        <v>108</v>
      </c>
      <c r="B68" s="5">
        <v>0</v>
      </c>
      <c r="C68" s="5">
        <v>0</v>
      </c>
      <c r="D68" s="5">
        <v>0</v>
      </c>
      <c r="E68" s="5">
        <v>0</v>
      </c>
      <c r="F68" s="21">
        <f>SUM(B68:E68)</f>
        <v>0</v>
      </c>
      <c r="G68" s="5">
        <v>0</v>
      </c>
      <c r="H68" s="5">
        <v>0</v>
      </c>
      <c r="I68" s="5">
        <v>0</v>
      </c>
      <c r="J68" s="5">
        <v>10669</v>
      </c>
      <c r="K68" s="21">
        <f>SUM(G68:J68)</f>
        <v>10669</v>
      </c>
      <c r="L68" s="5">
        <v>0</v>
      </c>
      <c r="M68" s="5">
        <v>0</v>
      </c>
      <c r="N68" s="5">
        <v>0</v>
      </c>
      <c r="O68" s="5">
        <v>0</v>
      </c>
      <c r="P68" s="21">
        <f>SUM(L68:O68)</f>
        <v>0</v>
      </c>
      <c r="Q68" s="5">
        <v>0</v>
      </c>
      <c r="R68" s="5">
        <v>0</v>
      </c>
      <c r="S68" s="5">
        <v>0</v>
      </c>
      <c r="T68" s="5">
        <v>0</v>
      </c>
      <c r="U68" s="21">
        <f>SUM(Q68:T68)</f>
        <v>0</v>
      </c>
      <c r="V68" s="5">
        <v>0</v>
      </c>
      <c r="W68" s="5">
        <v>0</v>
      </c>
      <c r="X68" s="5">
        <v>0</v>
      </c>
      <c r="Y68" s="5">
        <v>0</v>
      </c>
      <c r="Z68" s="21">
        <f>SUM(V68:Y68)</f>
        <v>0</v>
      </c>
      <c r="AA68" s="5">
        <v>0</v>
      </c>
      <c r="AB68" s="5">
        <v>0</v>
      </c>
      <c r="AC68" s="5">
        <v>0</v>
      </c>
      <c r="AD68" s="5">
        <v>0</v>
      </c>
      <c r="AE68" s="21">
        <f t="shared" si="86"/>
        <v>0</v>
      </c>
      <c r="AF68" s="5">
        <v>0</v>
      </c>
      <c r="AG68" s="5">
        <v>0</v>
      </c>
      <c r="AH68" s="5">
        <v>0</v>
      </c>
      <c r="AI68" s="5">
        <v>0</v>
      </c>
      <c r="AJ68" s="21">
        <f t="shared" si="87"/>
        <v>0</v>
      </c>
    </row>
    <row r="69" spans="1:36" x14ac:dyDescent="0.2">
      <c r="A69" s="4" t="s">
        <v>4</v>
      </c>
      <c r="B69" s="5">
        <v>0</v>
      </c>
      <c r="C69" s="5">
        <v>0</v>
      </c>
      <c r="D69" s="5">
        <v>0</v>
      </c>
      <c r="E69" s="5">
        <v>0</v>
      </c>
      <c r="F69" s="21">
        <f t="shared" si="88"/>
        <v>0</v>
      </c>
      <c r="G69" s="5">
        <v>0</v>
      </c>
      <c r="H69" s="5">
        <v>0</v>
      </c>
      <c r="I69" s="5">
        <f>I53</f>
        <v>27</v>
      </c>
      <c r="J69" s="5">
        <f>J53</f>
        <v>3382</v>
      </c>
      <c r="K69" s="21">
        <f t="shared" si="89"/>
        <v>3409</v>
      </c>
      <c r="L69" s="5">
        <f>L53</f>
        <v>19255</v>
      </c>
      <c r="M69" s="5">
        <f>M53</f>
        <v>1018</v>
      </c>
      <c r="N69" s="5">
        <f>N53</f>
        <v>972</v>
      </c>
      <c r="O69" s="5">
        <f>O53</f>
        <v>874</v>
      </c>
      <c r="P69" s="21">
        <f t="shared" si="90"/>
        <v>22119</v>
      </c>
      <c r="Q69" s="5">
        <f>Q53</f>
        <v>0</v>
      </c>
      <c r="R69" s="5">
        <f>R53</f>
        <v>0</v>
      </c>
      <c r="S69" s="5">
        <f>S53</f>
        <v>0</v>
      </c>
      <c r="T69" s="5">
        <f>T53</f>
        <v>0</v>
      </c>
      <c r="U69" s="21">
        <f t="shared" si="84"/>
        <v>0</v>
      </c>
      <c r="V69" s="5">
        <f>V53</f>
        <v>0</v>
      </c>
      <c r="W69" s="5">
        <f>W53</f>
        <v>0</v>
      </c>
      <c r="X69" s="5">
        <f>X53</f>
        <v>0</v>
      </c>
      <c r="Y69" s="5">
        <f>Y53</f>
        <v>0</v>
      </c>
      <c r="Z69" s="21">
        <f t="shared" si="85"/>
        <v>0</v>
      </c>
      <c r="AA69" s="5">
        <f>AA53</f>
        <v>0</v>
      </c>
      <c r="AB69" s="5">
        <f>AB53</f>
        <v>0</v>
      </c>
      <c r="AC69" s="5">
        <f>AC53</f>
        <v>0</v>
      </c>
      <c r="AD69" s="5">
        <f>AD53</f>
        <v>0</v>
      </c>
      <c r="AE69" s="21">
        <f t="shared" si="86"/>
        <v>0</v>
      </c>
      <c r="AF69" s="5">
        <f>AF53</f>
        <v>0</v>
      </c>
      <c r="AG69" s="5">
        <f>AG53</f>
        <v>0</v>
      </c>
      <c r="AH69" s="5">
        <f>AH53</f>
        <v>0</v>
      </c>
      <c r="AI69" s="5">
        <f>AI53</f>
        <v>0</v>
      </c>
      <c r="AJ69" s="21">
        <f t="shared" si="87"/>
        <v>0</v>
      </c>
    </row>
    <row r="70" spans="1:36" x14ac:dyDescent="0.2">
      <c r="A70" s="4" t="s">
        <v>109</v>
      </c>
      <c r="B70" s="5">
        <v>0</v>
      </c>
      <c r="C70" s="5">
        <v>0</v>
      </c>
      <c r="D70" s="5">
        <v>0</v>
      </c>
      <c r="E70" s="5">
        <v>0</v>
      </c>
      <c r="F70" s="21">
        <f t="shared" si="88"/>
        <v>0</v>
      </c>
      <c r="G70" s="5">
        <v>0</v>
      </c>
      <c r="H70" s="5">
        <v>0</v>
      </c>
      <c r="I70" s="5">
        <v>0</v>
      </c>
      <c r="J70" s="5">
        <v>0</v>
      </c>
      <c r="K70" s="21">
        <f t="shared" si="89"/>
        <v>0</v>
      </c>
      <c r="L70" s="5">
        <v>1368</v>
      </c>
      <c r="M70" s="5">
        <v>0</v>
      </c>
      <c r="N70" s="5">
        <v>0</v>
      </c>
      <c r="O70" s="5">
        <v>0</v>
      </c>
      <c r="P70" s="21">
        <f t="shared" si="90"/>
        <v>1368</v>
      </c>
      <c r="Q70" s="5">
        <v>0</v>
      </c>
      <c r="R70" s="5">
        <v>0</v>
      </c>
      <c r="S70" s="5">
        <v>0</v>
      </c>
      <c r="T70" s="5">
        <v>0</v>
      </c>
      <c r="U70" s="21">
        <f t="shared" si="84"/>
        <v>0</v>
      </c>
      <c r="V70" s="5">
        <v>0</v>
      </c>
      <c r="W70" s="5">
        <v>0</v>
      </c>
      <c r="X70" s="5">
        <v>0</v>
      </c>
      <c r="Y70" s="5">
        <v>0</v>
      </c>
      <c r="Z70" s="21">
        <f t="shared" si="85"/>
        <v>0</v>
      </c>
      <c r="AA70" s="5">
        <v>0</v>
      </c>
      <c r="AB70" s="5">
        <v>0</v>
      </c>
      <c r="AC70" s="5">
        <v>0</v>
      </c>
      <c r="AD70" s="5">
        <v>0</v>
      </c>
      <c r="AE70" s="21">
        <f t="shared" si="86"/>
        <v>0</v>
      </c>
      <c r="AF70" s="5">
        <v>0</v>
      </c>
      <c r="AG70" s="5">
        <v>0</v>
      </c>
      <c r="AH70" s="5">
        <v>0</v>
      </c>
      <c r="AI70" s="5">
        <v>0</v>
      </c>
      <c r="AJ70" s="21">
        <f t="shared" si="87"/>
        <v>0</v>
      </c>
    </row>
    <row r="71" spans="1:36" x14ac:dyDescent="0.2">
      <c r="A71" s="4" t="s">
        <v>202</v>
      </c>
      <c r="B71" s="5"/>
      <c r="C71" s="5"/>
      <c r="D71" s="5"/>
      <c r="E71" s="5"/>
      <c r="F71" s="21"/>
      <c r="G71" s="5"/>
      <c r="H71" s="5"/>
      <c r="I71" s="5"/>
      <c r="J71" s="5"/>
      <c r="K71" s="21"/>
      <c r="L71" s="5"/>
      <c r="M71" s="5"/>
      <c r="N71" s="5"/>
      <c r="O71" s="5"/>
      <c r="P71" s="21"/>
      <c r="Q71" s="5"/>
      <c r="R71" s="5"/>
      <c r="S71" s="5"/>
      <c r="T71" s="5"/>
      <c r="U71" s="21"/>
      <c r="V71" s="5"/>
      <c r="W71" s="5"/>
      <c r="X71" s="5"/>
      <c r="Y71" s="5"/>
      <c r="Z71" s="21"/>
      <c r="AA71" s="5">
        <v>0</v>
      </c>
      <c r="AB71" s="5">
        <v>0</v>
      </c>
      <c r="AC71" s="5">
        <v>0</v>
      </c>
      <c r="AD71" s="5">
        <v>0</v>
      </c>
      <c r="AE71" s="21">
        <f t="shared" ref="AE71" si="91">SUM(AA71:AD71)</f>
        <v>0</v>
      </c>
      <c r="AF71" s="5">
        <v>0</v>
      </c>
      <c r="AG71" s="5">
        <v>0</v>
      </c>
      <c r="AH71" s="5">
        <v>25822.5</v>
      </c>
      <c r="AI71" s="5">
        <v>1317.5</v>
      </c>
      <c r="AJ71" s="21">
        <f>SUM(AF71:AI71)</f>
        <v>27140</v>
      </c>
    </row>
    <row r="72" spans="1:36" ht="14.25" x14ac:dyDescent="0.2">
      <c r="A72" s="4" t="s">
        <v>168</v>
      </c>
      <c r="B72" s="5">
        <v>0</v>
      </c>
      <c r="C72" s="5">
        <v>0</v>
      </c>
      <c r="D72" s="5">
        <v>0</v>
      </c>
      <c r="E72" s="5">
        <v>0</v>
      </c>
      <c r="F72" s="21">
        <f t="shared" si="88"/>
        <v>0</v>
      </c>
      <c r="G72" s="5">
        <v>0</v>
      </c>
      <c r="H72" s="5">
        <v>0</v>
      </c>
      <c r="I72" s="5">
        <v>0</v>
      </c>
      <c r="J72" s="5">
        <v>0</v>
      </c>
      <c r="K72" s="21">
        <f t="shared" si="89"/>
        <v>0</v>
      </c>
      <c r="L72" s="5">
        <v>0</v>
      </c>
      <c r="M72" s="5">
        <v>0</v>
      </c>
      <c r="N72" s="5">
        <v>-5015</v>
      </c>
      <c r="O72" s="5">
        <v>0</v>
      </c>
      <c r="P72" s="21">
        <f t="shared" si="90"/>
        <v>-5015</v>
      </c>
      <c r="Q72" s="5">
        <v>0</v>
      </c>
      <c r="R72" s="5">
        <v>0</v>
      </c>
      <c r="S72" s="5">
        <v>0</v>
      </c>
      <c r="T72" s="5">
        <v>0</v>
      </c>
      <c r="U72" s="21">
        <f t="shared" si="84"/>
        <v>0</v>
      </c>
      <c r="V72" s="5">
        <v>0</v>
      </c>
      <c r="W72" s="5">
        <v>0</v>
      </c>
      <c r="X72" s="5">
        <v>0</v>
      </c>
      <c r="Y72" s="5">
        <v>0</v>
      </c>
      <c r="Z72" s="21">
        <f t="shared" si="85"/>
        <v>0</v>
      </c>
      <c r="AA72" s="5">
        <v>0</v>
      </c>
      <c r="AB72" s="5">
        <v>0</v>
      </c>
      <c r="AC72" s="5">
        <v>0</v>
      </c>
      <c r="AD72" s="5">
        <v>0</v>
      </c>
      <c r="AE72" s="21">
        <f t="shared" si="86"/>
        <v>0</v>
      </c>
      <c r="AF72" s="5">
        <v>0</v>
      </c>
      <c r="AG72" s="5">
        <v>0</v>
      </c>
      <c r="AH72" s="5">
        <v>0</v>
      </c>
      <c r="AI72" s="5">
        <v>0</v>
      </c>
      <c r="AJ72" s="21">
        <f t="shared" si="87"/>
        <v>0</v>
      </c>
    </row>
    <row r="73" spans="1:36" ht="13.5" thickBot="1" x14ac:dyDescent="0.25">
      <c r="A73" s="1" t="s">
        <v>106</v>
      </c>
      <c r="B73" s="10">
        <f>SUM(B60:B72)</f>
        <v>291</v>
      </c>
      <c r="C73" s="10">
        <f t="shared" ref="C73:Q73" si="92">SUM(C60:C72)</f>
        <v>5969</v>
      </c>
      <c r="D73" s="10">
        <f t="shared" si="92"/>
        <v>27646</v>
      </c>
      <c r="E73" s="10">
        <f t="shared" si="92"/>
        <v>14373</v>
      </c>
      <c r="F73" s="25">
        <f t="shared" si="92"/>
        <v>48279</v>
      </c>
      <c r="G73" s="10">
        <f t="shared" si="92"/>
        <v>16921</v>
      </c>
      <c r="H73" s="10">
        <f t="shared" si="92"/>
        <v>22252</v>
      </c>
      <c r="I73" s="10">
        <f t="shared" si="92"/>
        <v>38634</v>
      </c>
      <c r="J73" s="10">
        <f t="shared" si="92"/>
        <v>25761</v>
      </c>
      <c r="K73" s="25">
        <f t="shared" si="92"/>
        <v>103568</v>
      </c>
      <c r="L73" s="10">
        <f t="shared" si="92"/>
        <v>35220</v>
      </c>
      <c r="M73" s="10">
        <f t="shared" si="92"/>
        <v>47166</v>
      </c>
      <c r="N73" s="10">
        <f t="shared" si="92"/>
        <v>56293</v>
      </c>
      <c r="O73" s="10">
        <f t="shared" si="92"/>
        <v>2673</v>
      </c>
      <c r="P73" s="25">
        <f t="shared" si="92"/>
        <v>141352</v>
      </c>
      <c r="Q73" s="10">
        <f t="shared" si="92"/>
        <v>5282</v>
      </c>
      <c r="R73" s="10">
        <f t="shared" ref="R73:S73" si="93">SUM(R60:R72)</f>
        <v>17137</v>
      </c>
      <c r="S73" s="10">
        <f t="shared" si="93"/>
        <v>20565</v>
      </c>
      <c r="T73" s="10">
        <f t="shared" ref="T73:U73" si="94">SUM(T60:T72)</f>
        <v>11399</v>
      </c>
      <c r="U73" s="25">
        <f t="shared" si="94"/>
        <v>54383</v>
      </c>
      <c r="V73" s="10">
        <f t="shared" ref="V73:W73" si="95">SUM(V60:V72)</f>
        <v>14979</v>
      </c>
      <c r="W73" s="10">
        <f t="shared" si="95"/>
        <v>2638</v>
      </c>
      <c r="X73" s="10">
        <f t="shared" ref="X73:AA73" si="96">SUM(X60:X72)</f>
        <v>81007</v>
      </c>
      <c r="Y73" s="10">
        <f t="shared" si="96"/>
        <v>100017</v>
      </c>
      <c r="Z73" s="25">
        <f t="shared" si="96"/>
        <v>198641</v>
      </c>
      <c r="AA73" s="10">
        <f t="shared" si="96"/>
        <v>131106</v>
      </c>
      <c r="AB73" s="10">
        <f t="shared" ref="AB73:AC73" si="97">SUM(AB60:AB72)</f>
        <v>187905</v>
      </c>
      <c r="AC73" s="10">
        <f t="shared" si="97"/>
        <v>62415</v>
      </c>
      <c r="AD73" s="10">
        <f t="shared" ref="AD73:AE73" si="98">SUM(AD60:AD72)</f>
        <v>39930</v>
      </c>
      <c r="AE73" s="25">
        <f t="shared" si="98"/>
        <v>421356</v>
      </c>
      <c r="AF73" s="10">
        <f t="shared" ref="AF73:AG73" si="99">SUM(AF60:AF72)</f>
        <v>174637.5</v>
      </c>
      <c r="AG73" s="10">
        <f t="shared" si="99"/>
        <v>112870.6</v>
      </c>
      <c r="AH73" s="10">
        <f>SUM(AH60:AH72)</f>
        <v>53218.5</v>
      </c>
      <c r="AI73" s="10">
        <f>SUM(AI60:AI72)</f>
        <v>9295.5</v>
      </c>
      <c r="AJ73" s="25">
        <f t="shared" ref="AJ73" si="100">SUM(AJ60:AJ72)</f>
        <v>350022.1</v>
      </c>
    </row>
    <row r="74" spans="1:36" ht="13.5" thickTop="1" x14ac:dyDescent="0.2">
      <c r="K74" s="38"/>
      <c r="L74" s="38"/>
      <c r="Q74" s="38"/>
      <c r="R74" s="38"/>
      <c r="S74" s="38"/>
      <c r="T74" s="38"/>
      <c r="V74" s="38"/>
      <c r="W74" s="38"/>
      <c r="X74" s="38"/>
      <c r="Y74" s="38"/>
      <c r="AA74" s="38"/>
      <c r="AB74" s="38"/>
      <c r="AC74" s="38"/>
      <c r="AD74" s="38"/>
      <c r="AF74" s="38"/>
      <c r="AG74" s="38"/>
      <c r="AH74" s="38"/>
      <c r="AI74" s="38"/>
    </row>
    <row r="75" spans="1:36" x14ac:dyDescent="0.2">
      <c r="A75" s="1" t="s">
        <v>165</v>
      </c>
      <c r="B75" s="12">
        <f t="shared" ref="B75:Z75" si="101">B31</f>
        <v>0</v>
      </c>
      <c r="C75" s="12">
        <f t="shared" si="101"/>
        <v>-0.77</v>
      </c>
      <c r="D75" s="12">
        <f t="shared" si="101"/>
        <v>0.68</v>
      </c>
      <c r="E75" s="12">
        <f t="shared" si="101"/>
        <v>0.35</v>
      </c>
      <c r="F75" s="27">
        <f t="shared" si="101"/>
        <v>0.27</v>
      </c>
      <c r="G75" s="12">
        <f t="shared" si="101"/>
        <v>0.41</v>
      </c>
      <c r="H75" s="12">
        <f t="shared" si="101"/>
        <v>0.59</v>
      </c>
      <c r="I75" s="12">
        <f t="shared" si="101"/>
        <v>0.82</v>
      </c>
      <c r="J75" s="12">
        <f t="shared" si="101"/>
        <v>0.28000000000000003</v>
      </c>
      <c r="K75" s="27">
        <f t="shared" si="101"/>
        <v>2.1</v>
      </c>
      <c r="L75" s="12">
        <f t="shared" si="101"/>
        <v>0.28999999999999998</v>
      </c>
      <c r="M75" s="12">
        <f t="shared" si="101"/>
        <v>0.73</v>
      </c>
      <c r="N75" s="12">
        <f t="shared" si="101"/>
        <v>0.93</v>
      </c>
      <c r="O75" s="12">
        <f t="shared" si="101"/>
        <v>0.03</v>
      </c>
      <c r="P75" s="27">
        <f t="shared" si="101"/>
        <v>1.99</v>
      </c>
      <c r="Q75" s="12">
        <f t="shared" si="101"/>
        <v>0.1</v>
      </c>
      <c r="R75" s="12">
        <f t="shared" si="101"/>
        <v>0.25</v>
      </c>
      <c r="S75" s="12">
        <f t="shared" si="101"/>
        <v>0.3</v>
      </c>
      <c r="T75" s="12">
        <f t="shared" si="101"/>
        <v>0.17</v>
      </c>
      <c r="U75" s="27">
        <f t="shared" si="101"/>
        <v>0.82</v>
      </c>
      <c r="V75" s="12">
        <f t="shared" si="101"/>
        <v>-0.25</v>
      </c>
      <c r="W75" s="12">
        <f t="shared" si="101"/>
        <v>0.04</v>
      </c>
      <c r="X75" s="12">
        <f t="shared" si="101"/>
        <v>1.2</v>
      </c>
      <c r="Y75" s="12">
        <f t="shared" si="101"/>
        <v>1.48</v>
      </c>
      <c r="Z75" s="27">
        <f t="shared" si="101"/>
        <v>2.4700000000000002</v>
      </c>
      <c r="AA75" s="12">
        <f t="shared" ref="AA75:AF75" si="102">AA31</f>
        <v>1.94</v>
      </c>
      <c r="AB75" s="12">
        <f t="shared" si="102"/>
        <v>2.77</v>
      </c>
      <c r="AC75" s="12">
        <f t="shared" si="102"/>
        <v>0.97</v>
      </c>
      <c r="AD75" s="12">
        <f t="shared" si="102"/>
        <v>0.57999999999999996</v>
      </c>
      <c r="AE75" s="27">
        <f t="shared" si="102"/>
        <v>6.2591001048450217</v>
      </c>
      <c r="AF75" s="12">
        <f t="shared" si="102"/>
        <v>2.3538198583801329</v>
      </c>
      <c r="AG75" s="12">
        <f t="shared" ref="AG75:AI75" si="103">AG31</f>
        <v>1.7226003352867849</v>
      </c>
      <c r="AH75" s="12">
        <f t="shared" si="103"/>
        <v>0.64154288586106767</v>
      </c>
      <c r="AI75" s="12">
        <f t="shared" si="103"/>
        <v>4.7692918662662266E-2</v>
      </c>
      <c r="AJ75" s="27">
        <f>+AJ60/AJ36</f>
        <v>4.5788650887249389</v>
      </c>
    </row>
    <row r="76" spans="1:36" ht="14.25" x14ac:dyDescent="0.2">
      <c r="A76" s="4" t="s">
        <v>196</v>
      </c>
      <c r="B76" s="69">
        <v>0</v>
      </c>
      <c r="C76" s="69">
        <v>0</v>
      </c>
      <c r="D76" s="69">
        <v>0</v>
      </c>
      <c r="E76" s="69">
        <v>0</v>
      </c>
      <c r="F76" s="68">
        <f>SUM(B76:E76)</f>
        <v>0</v>
      </c>
      <c r="G76" s="69">
        <v>0</v>
      </c>
      <c r="H76" s="69">
        <v>0</v>
      </c>
      <c r="I76" s="69">
        <v>0</v>
      </c>
      <c r="J76" s="69">
        <v>0</v>
      </c>
      <c r="K76" s="68">
        <f>SUM(G76:J76)</f>
        <v>0</v>
      </c>
      <c r="L76" s="69">
        <v>0</v>
      </c>
      <c r="M76" s="69">
        <v>0</v>
      </c>
      <c r="N76" s="69">
        <v>0</v>
      </c>
      <c r="O76" s="69">
        <v>0</v>
      </c>
      <c r="P76" s="68">
        <f>SUM(L76:O76)</f>
        <v>0</v>
      </c>
      <c r="Q76" s="69">
        <v>0</v>
      </c>
      <c r="R76" s="69">
        <v>0</v>
      </c>
      <c r="S76" s="69">
        <v>0</v>
      </c>
      <c r="T76" s="69">
        <v>0</v>
      </c>
      <c r="U76" s="68">
        <f>SUM(Q76:T76)</f>
        <v>0</v>
      </c>
      <c r="V76" s="69">
        <v>0</v>
      </c>
      <c r="W76" s="69">
        <v>0</v>
      </c>
      <c r="X76" s="69">
        <v>0</v>
      </c>
      <c r="Y76" s="69">
        <v>0</v>
      </c>
      <c r="Z76" s="68">
        <f>SUM(V76:Y76)</f>
        <v>0</v>
      </c>
      <c r="AA76" s="69">
        <v>0</v>
      </c>
      <c r="AB76" s="69">
        <v>0</v>
      </c>
      <c r="AC76" s="69">
        <v>-0.05</v>
      </c>
      <c r="AD76" s="69">
        <v>0.01</v>
      </c>
      <c r="AE76" s="68">
        <f>SUM(AA76:AD76)</f>
        <v>-0.04</v>
      </c>
      <c r="AF76" s="69">
        <v>0</v>
      </c>
      <c r="AG76" s="69">
        <v>-0.11</v>
      </c>
      <c r="AH76" s="69">
        <v>-0.26</v>
      </c>
      <c r="AI76" s="69">
        <v>0</v>
      </c>
      <c r="AJ76" s="68">
        <f>+AJ61/AJ36</f>
        <v>-0.35251227338800362</v>
      </c>
    </row>
    <row r="77" spans="1:36" x14ac:dyDescent="0.2">
      <c r="A77" s="4" t="s">
        <v>140</v>
      </c>
      <c r="B77" s="69">
        <v>0</v>
      </c>
      <c r="C77" s="69">
        <v>0</v>
      </c>
      <c r="D77" s="69">
        <v>0</v>
      </c>
      <c r="E77" s="69">
        <v>0</v>
      </c>
      <c r="F77" s="68">
        <f>SUM(B77:E77)</f>
        <v>0</v>
      </c>
      <c r="G77" s="69">
        <v>0</v>
      </c>
      <c r="H77" s="69">
        <v>0</v>
      </c>
      <c r="I77" s="69">
        <v>0</v>
      </c>
      <c r="J77" s="69">
        <v>0</v>
      </c>
      <c r="K77" s="68">
        <f>SUM(G77:J77)</f>
        <v>0</v>
      </c>
      <c r="L77" s="69">
        <v>0</v>
      </c>
      <c r="M77" s="69">
        <v>0</v>
      </c>
      <c r="N77" s="69">
        <v>0</v>
      </c>
      <c r="O77" s="69">
        <v>0</v>
      </c>
      <c r="P77" s="68">
        <f>SUM(L77:O77)</f>
        <v>0</v>
      </c>
      <c r="Q77" s="69">
        <v>0.08</v>
      </c>
      <c r="R77" s="69">
        <v>0</v>
      </c>
      <c r="S77" s="69">
        <v>0</v>
      </c>
      <c r="T77" s="69">
        <v>0</v>
      </c>
      <c r="U77" s="68">
        <f>SUM(Q77:T77)</f>
        <v>0.08</v>
      </c>
      <c r="V77" s="69">
        <v>0</v>
      </c>
      <c r="W77" s="69">
        <v>0</v>
      </c>
      <c r="X77" s="69">
        <v>0</v>
      </c>
      <c r="Y77" s="69">
        <v>0</v>
      </c>
      <c r="Z77" s="68">
        <f>SUM(V77:Y77)</f>
        <v>0</v>
      </c>
      <c r="AA77" s="69">
        <v>0</v>
      </c>
      <c r="AB77" s="69">
        <v>0</v>
      </c>
      <c r="AC77" s="69">
        <v>0</v>
      </c>
      <c r="AD77" s="69">
        <v>0</v>
      </c>
      <c r="AE77" s="68">
        <f t="shared" ref="AE77:AE88" si="104">SUM(AA77:AD77)</f>
        <v>0</v>
      </c>
      <c r="AF77" s="69">
        <v>0</v>
      </c>
      <c r="AG77" s="69">
        <v>0</v>
      </c>
      <c r="AH77" s="69">
        <v>0</v>
      </c>
      <c r="AI77" s="69">
        <v>0</v>
      </c>
      <c r="AJ77" s="68">
        <f t="shared" ref="AJ77:AJ88" si="105">SUM(AF77:AI77)</f>
        <v>0</v>
      </c>
    </row>
    <row r="78" spans="1:36" ht="14.25" x14ac:dyDescent="0.2">
      <c r="A78" s="4" t="s">
        <v>187</v>
      </c>
      <c r="B78" s="69">
        <v>0</v>
      </c>
      <c r="C78" s="69">
        <v>0</v>
      </c>
      <c r="D78" s="69">
        <v>0</v>
      </c>
      <c r="E78" s="69">
        <v>0</v>
      </c>
      <c r="F78" s="68">
        <f>SUM(B78:E78)</f>
        <v>0</v>
      </c>
      <c r="G78" s="69">
        <v>0</v>
      </c>
      <c r="H78" s="69">
        <v>0</v>
      </c>
      <c r="I78" s="69">
        <v>0</v>
      </c>
      <c r="J78" s="69">
        <v>0</v>
      </c>
      <c r="K78" s="68">
        <f>SUM(G78:J78)</f>
        <v>0</v>
      </c>
      <c r="L78" s="69">
        <v>0</v>
      </c>
      <c r="M78" s="69">
        <v>0</v>
      </c>
      <c r="N78" s="69">
        <v>0</v>
      </c>
      <c r="O78" s="69">
        <v>0</v>
      </c>
      <c r="P78" s="68">
        <f>SUM(L78:O78)</f>
        <v>0</v>
      </c>
      <c r="Q78" s="69">
        <v>0</v>
      </c>
      <c r="R78" s="69">
        <v>0</v>
      </c>
      <c r="S78" s="69">
        <v>0</v>
      </c>
      <c r="T78" s="69">
        <v>0</v>
      </c>
      <c r="U78" s="68">
        <f>SUM(Q78:T78)</f>
        <v>0</v>
      </c>
      <c r="V78" s="69">
        <v>0.47</v>
      </c>
      <c r="W78" s="69">
        <v>0</v>
      </c>
      <c r="X78" s="69">
        <v>0</v>
      </c>
      <c r="Y78" s="69">
        <v>0</v>
      </c>
      <c r="Z78" s="68">
        <f>SUM(V78:Y78)</f>
        <v>0.47</v>
      </c>
      <c r="AA78" s="69">
        <v>0</v>
      </c>
      <c r="AB78" s="69">
        <v>0</v>
      </c>
      <c r="AC78" s="69">
        <v>0</v>
      </c>
      <c r="AD78" s="69">
        <v>0</v>
      </c>
      <c r="AE78" s="68">
        <f t="shared" si="104"/>
        <v>0</v>
      </c>
      <c r="AF78" s="69">
        <v>0.15</v>
      </c>
      <c r="AG78" s="69">
        <v>0</v>
      </c>
      <c r="AH78" s="69">
        <v>0</v>
      </c>
      <c r="AI78" s="69">
        <v>0</v>
      </c>
      <c r="AJ78" s="68">
        <f>+AJ63/AJ36</f>
        <v>0.14471627218123476</v>
      </c>
    </row>
    <row r="79" spans="1:36" ht="14.25" x14ac:dyDescent="0.2">
      <c r="A79" s="4" t="s">
        <v>171</v>
      </c>
      <c r="B79" s="69">
        <v>0</v>
      </c>
      <c r="C79" s="69">
        <v>0</v>
      </c>
      <c r="D79" s="69">
        <v>0</v>
      </c>
      <c r="E79" s="69">
        <v>0</v>
      </c>
      <c r="F79" s="68">
        <f t="shared" ref="F79" si="106">SUM(B79:E79)</f>
        <v>0</v>
      </c>
      <c r="G79" s="69">
        <v>0</v>
      </c>
      <c r="H79" s="69">
        <v>0</v>
      </c>
      <c r="I79" s="69">
        <v>0</v>
      </c>
      <c r="J79" s="69">
        <v>0</v>
      </c>
      <c r="K79" s="68">
        <f t="shared" ref="K79" si="107">SUM(G79:J79)</f>
        <v>0</v>
      </c>
      <c r="L79" s="69">
        <v>0</v>
      </c>
      <c r="M79" s="69">
        <v>0</v>
      </c>
      <c r="N79" s="69">
        <v>0</v>
      </c>
      <c r="O79" s="69">
        <v>0</v>
      </c>
      <c r="P79" s="68">
        <f t="shared" ref="P79" si="108">SUM(L79:O79)</f>
        <v>0</v>
      </c>
      <c r="Q79" s="69">
        <v>-0.1</v>
      </c>
      <c r="R79" s="69">
        <v>0</v>
      </c>
      <c r="S79" s="69">
        <v>0</v>
      </c>
      <c r="T79" s="69">
        <v>0</v>
      </c>
      <c r="U79" s="68">
        <f t="shared" ref="U79" si="109">SUM(Q79:T79)</f>
        <v>-0.1</v>
      </c>
      <c r="V79" s="69">
        <v>0</v>
      </c>
      <c r="W79" s="69">
        <v>0</v>
      </c>
      <c r="X79" s="69">
        <v>0</v>
      </c>
      <c r="Y79" s="69">
        <v>0</v>
      </c>
      <c r="Z79" s="68">
        <f t="shared" ref="Z79" si="110">SUM(V79:Y79)</f>
        <v>0</v>
      </c>
      <c r="AA79" s="69">
        <v>0</v>
      </c>
      <c r="AB79" s="69">
        <v>0</v>
      </c>
      <c r="AC79" s="69">
        <v>0</v>
      </c>
      <c r="AD79" s="69">
        <v>0</v>
      </c>
      <c r="AE79" s="68">
        <f t="shared" si="104"/>
        <v>0</v>
      </c>
      <c r="AF79" s="69">
        <v>0</v>
      </c>
      <c r="AG79" s="69">
        <v>0</v>
      </c>
      <c r="AH79" s="69">
        <v>0</v>
      </c>
      <c r="AI79" s="69">
        <v>0</v>
      </c>
      <c r="AJ79" s="68">
        <f t="shared" si="105"/>
        <v>0</v>
      </c>
    </row>
    <row r="80" spans="1:36" x14ac:dyDescent="0.2">
      <c r="A80" s="4" t="s">
        <v>5</v>
      </c>
      <c r="B80" s="69">
        <v>0</v>
      </c>
      <c r="C80" s="69">
        <f>1.19</f>
        <v>1.19</v>
      </c>
      <c r="D80" s="69">
        <v>0</v>
      </c>
      <c r="E80" s="69">
        <v>0</v>
      </c>
      <c r="F80" s="68">
        <f>SUM(B80:E80)</f>
        <v>1.19</v>
      </c>
      <c r="G80" s="69">
        <v>0</v>
      </c>
      <c r="H80" s="69">
        <v>0</v>
      </c>
      <c r="I80" s="69">
        <v>0</v>
      </c>
      <c r="J80" s="69">
        <v>0</v>
      </c>
      <c r="K80" s="68">
        <f>SUM(G80:J80)</f>
        <v>0</v>
      </c>
      <c r="L80" s="69">
        <v>0</v>
      </c>
      <c r="M80" s="69">
        <v>0</v>
      </c>
      <c r="N80" s="69">
        <v>0</v>
      </c>
      <c r="O80" s="69">
        <v>0</v>
      </c>
      <c r="P80" s="68">
        <f>SUM(L80:O80)</f>
        <v>0</v>
      </c>
      <c r="Q80" s="69">
        <v>0</v>
      </c>
      <c r="R80" s="69">
        <v>0</v>
      </c>
      <c r="S80" s="69">
        <v>0</v>
      </c>
      <c r="T80" s="69">
        <v>0</v>
      </c>
      <c r="U80" s="68">
        <f>SUM(Q80:T80)</f>
        <v>0</v>
      </c>
      <c r="V80" s="69">
        <v>0</v>
      </c>
      <c r="W80" s="69">
        <v>0</v>
      </c>
      <c r="X80" s="69">
        <v>0</v>
      </c>
      <c r="Y80" s="69">
        <v>0</v>
      </c>
      <c r="Z80" s="68">
        <f>SUM(V80:Y80)</f>
        <v>0</v>
      </c>
      <c r="AA80" s="69">
        <v>0</v>
      </c>
      <c r="AB80" s="69">
        <v>0</v>
      </c>
      <c r="AC80" s="69">
        <v>0</v>
      </c>
      <c r="AD80" s="69">
        <v>0</v>
      </c>
      <c r="AE80" s="68">
        <f t="shared" si="104"/>
        <v>0</v>
      </c>
      <c r="AF80" s="69">
        <v>0</v>
      </c>
      <c r="AG80" s="69">
        <v>0</v>
      </c>
      <c r="AH80" s="69">
        <v>0</v>
      </c>
      <c r="AI80" s="69">
        <v>0</v>
      </c>
      <c r="AJ80" s="68">
        <f t="shared" si="105"/>
        <v>0</v>
      </c>
    </row>
    <row r="81" spans="1:36" x14ac:dyDescent="0.2">
      <c r="A81" s="4" t="s">
        <v>113</v>
      </c>
      <c r="B81" s="69">
        <v>0</v>
      </c>
      <c r="C81" s="69">
        <v>-0.28999999999999998</v>
      </c>
      <c r="D81" s="69">
        <v>0</v>
      </c>
      <c r="E81" s="69">
        <v>0</v>
      </c>
      <c r="F81" s="68">
        <f t="shared" ref="F81:F88" si="111">SUM(B81:E81)</f>
        <v>-0.28999999999999998</v>
      </c>
      <c r="G81" s="69">
        <v>0</v>
      </c>
      <c r="H81" s="69">
        <v>0</v>
      </c>
      <c r="I81" s="69">
        <v>0</v>
      </c>
      <c r="J81" s="69">
        <v>0</v>
      </c>
      <c r="K81" s="68">
        <f t="shared" ref="K81:K88" si="112">SUM(G81:J81)</f>
        <v>0</v>
      </c>
      <c r="L81" s="69">
        <v>0</v>
      </c>
      <c r="M81" s="69">
        <v>0</v>
      </c>
      <c r="N81" s="69">
        <v>0</v>
      </c>
      <c r="O81" s="69">
        <v>0</v>
      </c>
      <c r="P81" s="68">
        <f t="shared" ref="P81:P86" si="113">SUM(L81:O81)</f>
        <v>0</v>
      </c>
      <c r="Q81" s="69">
        <v>0</v>
      </c>
      <c r="R81" s="69">
        <v>0</v>
      </c>
      <c r="S81" s="69">
        <v>0</v>
      </c>
      <c r="T81" s="69">
        <v>0</v>
      </c>
      <c r="U81" s="68">
        <f t="shared" ref="U81:U86" si="114">SUM(Q81:T81)</f>
        <v>0</v>
      </c>
      <c r="V81" s="69">
        <v>0</v>
      </c>
      <c r="W81" s="69">
        <v>0</v>
      </c>
      <c r="X81" s="69">
        <v>0</v>
      </c>
      <c r="Y81" s="69">
        <v>0</v>
      </c>
      <c r="Z81" s="68">
        <f t="shared" ref="Z81:Z86" si="115">SUM(V81:Y81)</f>
        <v>0</v>
      </c>
      <c r="AA81" s="69">
        <v>0</v>
      </c>
      <c r="AB81" s="69">
        <v>0</v>
      </c>
      <c r="AC81" s="69">
        <v>0</v>
      </c>
      <c r="AD81" s="69">
        <v>0</v>
      </c>
      <c r="AE81" s="68">
        <f t="shared" si="104"/>
        <v>0</v>
      </c>
      <c r="AF81" s="69">
        <v>0</v>
      </c>
      <c r="AG81" s="69">
        <v>0</v>
      </c>
      <c r="AH81" s="69">
        <v>0</v>
      </c>
      <c r="AI81" s="69">
        <v>0</v>
      </c>
      <c r="AJ81" s="68">
        <f t="shared" si="105"/>
        <v>0</v>
      </c>
    </row>
    <row r="82" spans="1:36" x14ac:dyDescent="0.2">
      <c r="A82" s="4" t="s">
        <v>208</v>
      </c>
      <c r="B82" s="69">
        <v>0</v>
      </c>
      <c r="C82" s="69">
        <v>0.01</v>
      </c>
      <c r="D82" s="69">
        <v>0</v>
      </c>
      <c r="E82" s="69">
        <v>0</v>
      </c>
      <c r="F82" s="68">
        <f t="shared" si="111"/>
        <v>0.01</v>
      </c>
      <c r="G82" s="69">
        <v>0</v>
      </c>
      <c r="H82" s="69">
        <v>0</v>
      </c>
      <c r="I82" s="69">
        <v>7.0000000000000007E-2</v>
      </c>
      <c r="J82" s="69">
        <v>0</v>
      </c>
      <c r="K82" s="68">
        <f t="shared" si="112"/>
        <v>7.0000000000000007E-2</v>
      </c>
      <c r="L82" s="69">
        <v>0</v>
      </c>
      <c r="M82" s="69">
        <v>0</v>
      </c>
      <c r="N82" s="69">
        <v>0</v>
      </c>
      <c r="O82" s="69">
        <v>0</v>
      </c>
      <c r="P82" s="68">
        <f t="shared" si="113"/>
        <v>0</v>
      </c>
      <c r="Q82" s="69">
        <v>0</v>
      </c>
      <c r="R82" s="69">
        <v>0</v>
      </c>
      <c r="S82" s="69">
        <v>0</v>
      </c>
      <c r="T82" s="69">
        <v>0</v>
      </c>
      <c r="U82" s="68">
        <f t="shared" si="114"/>
        <v>0</v>
      </c>
      <c r="V82" s="69">
        <v>0</v>
      </c>
      <c r="W82" s="69">
        <v>0</v>
      </c>
      <c r="X82" s="69">
        <v>0</v>
      </c>
      <c r="Y82" s="69">
        <v>0</v>
      </c>
      <c r="Z82" s="68">
        <f t="shared" si="115"/>
        <v>0</v>
      </c>
      <c r="AA82" s="69">
        <v>0</v>
      </c>
      <c r="AB82" s="69">
        <v>0</v>
      </c>
      <c r="AC82" s="69">
        <v>0</v>
      </c>
      <c r="AD82" s="69">
        <v>0</v>
      </c>
      <c r="AE82" s="68">
        <f t="shared" si="104"/>
        <v>0</v>
      </c>
      <c r="AF82" s="69">
        <v>0</v>
      </c>
      <c r="AG82" s="69">
        <v>0</v>
      </c>
      <c r="AH82" s="69">
        <v>0</v>
      </c>
      <c r="AI82" s="69">
        <v>0.05</v>
      </c>
      <c r="AJ82" s="68">
        <f>+AJ66/AJ36</f>
        <v>5.6704423904994375E-2</v>
      </c>
    </row>
    <row r="83" spans="1:36" x14ac:dyDescent="0.2">
      <c r="A83" s="4" t="s">
        <v>110</v>
      </c>
      <c r="B83" s="69">
        <v>0</v>
      </c>
      <c r="C83" s="69">
        <v>0</v>
      </c>
      <c r="D83" s="69">
        <v>0</v>
      </c>
      <c r="E83" s="69">
        <v>0</v>
      </c>
      <c r="F83" s="68">
        <f t="shared" si="111"/>
        <v>0</v>
      </c>
      <c r="G83" s="69">
        <v>0</v>
      </c>
      <c r="H83" s="69">
        <v>-0.05</v>
      </c>
      <c r="I83" s="69">
        <v>0.05</v>
      </c>
      <c r="J83" s="69">
        <v>0</v>
      </c>
      <c r="K83" s="68">
        <f t="shared" si="112"/>
        <v>0</v>
      </c>
      <c r="L83" s="69">
        <v>0</v>
      </c>
      <c r="M83" s="69">
        <v>0</v>
      </c>
      <c r="N83" s="69">
        <v>0</v>
      </c>
      <c r="O83" s="69">
        <v>0</v>
      </c>
      <c r="P83" s="68">
        <f t="shared" si="113"/>
        <v>0</v>
      </c>
      <c r="Q83" s="69">
        <v>0</v>
      </c>
      <c r="R83" s="69">
        <v>0</v>
      </c>
      <c r="S83" s="69">
        <v>0</v>
      </c>
      <c r="T83" s="69">
        <v>0</v>
      </c>
      <c r="U83" s="68">
        <f t="shared" si="114"/>
        <v>0</v>
      </c>
      <c r="V83" s="69">
        <v>0</v>
      </c>
      <c r="W83" s="69">
        <v>0</v>
      </c>
      <c r="X83" s="69">
        <v>0</v>
      </c>
      <c r="Y83" s="69">
        <v>0</v>
      </c>
      <c r="Z83" s="68">
        <f t="shared" si="115"/>
        <v>0</v>
      </c>
      <c r="AA83" s="69">
        <v>0</v>
      </c>
      <c r="AB83" s="69">
        <v>0</v>
      </c>
      <c r="AC83" s="69">
        <v>0</v>
      </c>
      <c r="AD83" s="69">
        <v>0</v>
      </c>
      <c r="AE83" s="68">
        <f t="shared" si="104"/>
        <v>0</v>
      </c>
      <c r="AF83" s="69">
        <v>0</v>
      </c>
      <c r="AG83" s="69">
        <v>0</v>
      </c>
      <c r="AH83" s="69">
        <v>0</v>
      </c>
      <c r="AI83" s="69">
        <v>0</v>
      </c>
      <c r="AJ83" s="68">
        <f t="shared" si="105"/>
        <v>0</v>
      </c>
    </row>
    <row r="84" spans="1:36" x14ac:dyDescent="0.2">
      <c r="A84" s="4" t="s">
        <v>108</v>
      </c>
      <c r="B84" s="69">
        <v>0</v>
      </c>
      <c r="C84" s="69">
        <v>0</v>
      </c>
      <c r="D84" s="69">
        <v>0</v>
      </c>
      <c r="E84" s="69">
        <v>0</v>
      </c>
      <c r="F84" s="68">
        <f t="shared" si="111"/>
        <v>0</v>
      </c>
      <c r="G84" s="69">
        <v>0</v>
      </c>
      <c r="H84" s="69">
        <v>0</v>
      </c>
      <c r="I84" s="69">
        <v>0</v>
      </c>
      <c r="J84" s="69">
        <v>0.26</v>
      </c>
      <c r="K84" s="68">
        <f t="shared" si="112"/>
        <v>0.26</v>
      </c>
      <c r="L84" s="69">
        <v>0</v>
      </c>
      <c r="M84" s="69">
        <v>0</v>
      </c>
      <c r="N84" s="69">
        <v>0</v>
      </c>
      <c r="O84" s="69">
        <v>0</v>
      </c>
      <c r="P84" s="68">
        <f t="shared" si="113"/>
        <v>0</v>
      </c>
      <c r="Q84" s="69">
        <v>0</v>
      </c>
      <c r="R84" s="69">
        <v>0</v>
      </c>
      <c r="S84" s="69">
        <v>0</v>
      </c>
      <c r="T84" s="69">
        <v>0</v>
      </c>
      <c r="U84" s="68">
        <f t="shared" si="114"/>
        <v>0</v>
      </c>
      <c r="V84" s="69">
        <v>0</v>
      </c>
      <c r="W84" s="69">
        <v>0</v>
      </c>
      <c r="X84" s="69">
        <v>0</v>
      </c>
      <c r="Y84" s="69">
        <v>0</v>
      </c>
      <c r="Z84" s="68">
        <f t="shared" si="115"/>
        <v>0</v>
      </c>
      <c r="AA84" s="69">
        <v>0</v>
      </c>
      <c r="AB84" s="69">
        <v>0</v>
      </c>
      <c r="AC84" s="69">
        <v>0</v>
      </c>
      <c r="AD84" s="69">
        <v>0</v>
      </c>
      <c r="AE84" s="68">
        <f t="shared" si="104"/>
        <v>0</v>
      </c>
      <c r="AF84" s="69">
        <v>0</v>
      </c>
      <c r="AG84" s="69">
        <v>0</v>
      </c>
      <c r="AH84" s="69">
        <v>0</v>
      </c>
      <c r="AI84" s="69">
        <v>0</v>
      </c>
      <c r="AJ84" s="68">
        <f t="shared" si="105"/>
        <v>0</v>
      </c>
    </row>
    <row r="85" spans="1:36" x14ac:dyDescent="0.2">
      <c r="A85" s="4" t="s">
        <v>4</v>
      </c>
      <c r="B85" s="69">
        <v>0</v>
      </c>
      <c r="C85" s="69">
        <v>0</v>
      </c>
      <c r="D85" s="69">
        <v>0</v>
      </c>
      <c r="E85" s="69">
        <v>0</v>
      </c>
      <c r="F85" s="68">
        <f t="shared" si="111"/>
        <v>0</v>
      </c>
      <c r="G85" s="69">
        <v>0</v>
      </c>
      <c r="H85" s="69">
        <v>0</v>
      </c>
      <c r="I85" s="69">
        <v>0</v>
      </c>
      <c r="J85" s="69">
        <v>0.08</v>
      </c>
      <c r="K85" s="68">
        <f t="shared" si="112"/>
        <v>0.08</v>
      </c>
      <c r="L85" s="69">
        <v>0.38</v>
      </c>
      <c r="M85" s="69">
        <v>0.02</v>
      </c>
      <c r="N85" s="69">
        <v>0.02</v>
      </c>
      <c r="O85" s="69">
        <v>0.01</v>
      </c>
      <c r="P85" s="68">
        <v>0.36</v>
      </c>
      <c r="Q85" s="69">
        <v>0</v>
      </c>
      <c r="R85" s="69">
        <v>0</v>
      </c>
      <c r="S85" s="69">
        <v>0</v>
      </c>
      <c r="T85" s="69">
        <v>0</v>
      </c>
      <c r="U85" s="68">
        <v>0</v>
      </c>
      <c r="V85" s="69">
        <v>0</v>
      </c>
      <c r="W85" s="69">
        <v>0</v>
      </c>
      <c r="X85" s="69">
        <v>0</v>
      </c>
      <c r="Y85" s="69">
        <v>0</v>
      </c>
      <c r="Z85" s="68">
        <v>0</v>
      </c>
      <c r="AA85" s="69">
        <v>0</v>
      </c>
      <c r="AB85" s="69">
        <v>0</v>
      </c>
      <c r="AC85" s="69">
        <v>0</v>
      </c>
      <c r="AD85" s="69">
        <v>0</v>
      </c>
      <c r="AE85" s="68">
        <f t="shared" si="104"/>
        <v>0</v>
      </c>
      <c r="AF85" s="69">
        <v>0</v>
      </c>
      <c r="AG85" s="69">
        <v>0</v>
      </c>
      <c r="AH85" s="69">
        <v>0</v>
      </c>
      <c r="AI85" s="69">
        <v>0</v>
      </c>
      <c r="AJ85" s="68">
        <f t="shared" si="105"/>
        <v>0</v>
      </c>
    </row>
    <row r="86" spans="1:36" x14ac:dyDescent="0.2">
      <c r="A86" s="4" t="s">
        <v>109</v>
      </c>
      <c r="B86" s="69">
        <v>0</v>
      </c>
      <c r="C86" s="69">
        <v>0</v>
      </c>
      <c r="D86" s="69">
        <v>0</v>
      </c>
      <c r="E86" s="69">
        <v>0</v>
      </c>
      <c r="F86" s="68">
        <f t="shared" si="111"/>
        <v>0</v>
      </c>
      <c r="G86" s="69">
        <v>0</v>
      </c>
      <c r="H86" s="69">
        <v>0</v>
      </c>
      <c r="I86" s="69">
        <v>0</v>
      </c>
      <c r="J86" s="69">
        <v>0</v>
      </c>
      <c r="K86" s="68">
        <f t="shared" si="112"/>
        <v>0</v>
      </c>
      <c r="L86" s="69">
        <v>0.02</v>
      </c>
      <c r="M86" s="69">
        <v>0</v>
      </c>
      <c r="N86" s="69">
        <v>0</v>
      </c>
      <c r="O86" s="69">
        <v>0</v>
      </c>
      <c r="P86" s="68">
        <f t="shared" si="113"/>
        <v>0.02</v>
      </c>
      <c r="Q86" s="69">
        <v>0</v>
      </c>
      <c r="R86" s="69">
        <v>0</v>
      </c>
      <c r="S86" s="69">
        <v>0</v>
      </c>
      <c r="T86" s="69">
        <v>0</v>
      </c>
      <c r="U86" s="68">
        <f t="shared" si="114"/>
        <v>0</v>
      </c>
      <c r="V86" s="69">
        <v>0</v>
      </c>
      <c r="W86" s="69">
        <v>0</v>
      </c>
      <c r="X86" s="69">
        <v>0</v>
      </c>
      <c r="Y86" s="69">
        <v>0</v>
      </c>
      <c r="Z86" s="68">
        <f t="shared" si="115"/>
        <v>0</v>
      </c>
      <c r="AA86" s="69">
        <v>0</v>
      </c>
      <c r="AB86" s="69">
        <v>0</v>
      </c>
      <c r="AC86" s="69">
        <v>0</v>
      </c>
      <c r="AD86" s="69">
        <v>0</v>
      </c>
      <c r="AE86" s="68">
        <f t="shared" si="104"/>
        <v>0</v>
      </c>
      <c r="AF86" s="69">
        <v>0</v>
      </c>
      <c r="AG86" s="69">
        <v>0</v>
      </c>
      <c r="AH86" s="69">
        <v>0</v>
      </c>
      <c r="AI86" s="69">
        <v>0</v>
      </c>
      <c r="AJ86" s="68">
        <f t="shared" si="105"/>
        <v>0</v>
      </c>
    </row>
    <row r="87" spans="1:36" x14ac:dyDescent="0.2">
      <c r="A87" s="4" t="s">
        <v>203</v>
      </c>
      <c r="B87" s="69"/>
      <c r="C87" s="69"/>
      <c r="D87" s="69"/>
      <c r="E87" s="69"/>
      <c r="F87" s="68"/>
      <c r="G87" s="69"/>
      <c r="H87" s="69"/>
      <c r="I87" s="69"/>
      <c r="J87" s="69"/>
      <c r="K87" s="68"/>
      <c r="L87" s="69"/>
      <c r="M87" s="69"/>
      <c r="N87" s="69"/>
      <c r="O87" s="69"/>
      <c r="P87" s="68"/>
      <c r="Q87" s="69"/>
      <c r="R87" s="69"/>
      <c r="S87" s="69"/>
      <c r="T87" s="69"/>
      <c r="U87" s="68"/>
      <c r="V87" s="69"/>
      <c r="W87" s="69"/>
      <c r="X87" s="69"/>
      <c r="Y87" s="69"/>
      <c r="Z87" s="68"/>
      <c r="AA87" s="69">
        <v>0</v>
      </c>
      <c r="AB87" s="69">
        <v>0</v>
      </c>
      <c r="AC87" s="69">
        <v>0</v>
      </c>
      <c r="AD87" s="69">
        <v>0</v>
      </c>
      <c r="AE87" s="69">
        <v>0</v>
      </c>
      <c r="AF87" s="69">
        <v>0</v>
      </c>
      <c r="AG87" s="69">
        <v>0</v>
      </c>
      <c r="AH87" s="69">
        <v>0.36</v>
      </c>
      <c r="AI87" s="69">
        <v>0.02</v>
      </c>
      <c r="AJ87" s="68">
        <f>+AJ71/AJ36</f>
        <v>0.37217849208743586</v>
      </c>
    </row>
    <row r="88" spans="1:36" ht="14.25" x14ac:dyDescent="0.2">
      <c r="A88" s="4" t="s">
        <v>168</v>
      </c>
      <c r="B88" s="69">
        <v>0</v>
      </c>
      <c r="C88" s="69">
        <v>0</v>
      </c>
      <c r="D88" s="69">
        <v>0</v>
      </c>
      <c r="E88" s="69">
        <v>0</v>
      </c>
      <c r="F88" s="68">
        <f t="shared" si="111"/>
        <v>0</v>
      </c>
      <c r="G88" s="69">
        <v>0</v>
      </c>
      <c r="H88" s="69">
        <v>0</v>
      </c>
      <c r="I88" s="69">
        <v>0</v>
      </c>
      <c r="J88" s="69">
        <v>0</v>
      </c>
      <c r="K88" s="68">
        <f t="shared" si="112"/>
        <v>0</v>
      </c>
      <c r="L88" s="69">
        <v>0</v>
      </c>
      <c r="M88" s="69">
        <v>0</v>
      </c>
      <c r="N88" s="69">
        <v>-0.08</v>
      </c>
      <c r="O88" s="69">
        <v>0</v>
      </c>
      <c r="P88" s="68">
        <v>-0.09</v>
      </c>
      <c r="Q88" s="69">
        <v>0</v>
      </c>
      <c r="R88" s="69">
        <v>0</v>
      </c>
      <c r="S88" s="69">
        <v>0</v>
      </c>
      <c r="T88" s="69">
        <v>0</v>
      </c>
      <c r="U88" s="68">
        <v>0</v>
      </c>
      <c r="V88" s="69">
        <v>0</v>
      </c>
      <c r="W88" s="69">
        <v>0</v>
      </c>
      <c r="X88" s="69">
        <v>0</v>
      </c>
      <c r="Y88" s="69">
        <v>0</v>
      </c>
      <c r="Z88" s="68">
        <v>0</v>
      </c>
      <c r="AA88" s="69">
        <v>0</v>
      </c>
      <c r="AB88" s="69">
        <v>0</v>
      </c>
      <c r="AC88" s="69">
        <v>0</v>
      </c>
      <c r="AD88" s="69">
        <v>0</v>
      </c>
      <c r="AE88" s="68">
        <f t="shared" si="104"/>
        <v>0</v>
      </c>
      <c r="AF88" s="69">
        <v>0</v>
      </c>
      <c r="AG88" s="69">
        <v>0</v>
      </c>
      <c r="AH88" s="69">
        <v>0</v>
      </c>
      <c r="AI88" s="69">
        <v>0</v>
      </c>
      <c r="AJ88" s="68">
        <f t="shared" si="105"/>
        <v>0</v>
      </c>
    </row>
    <row r="89" spans="1:36" ht="13.5" thickBot="1" x14ac:dyDescent="0.25">
      <c r="A89" s="1" t="s">
        <v>148</v>
      </c>
      <c r="B89" s="67">
        <f t="shared" ref="B89:P89" si="116">SUM(B75:B88)</f>
        <v>0</v>
      </c>
      <c r="C89" s="67">
        <f t="shared" si="116"/>
        <v>0.13999999999999996</v>
      </c>
      <c r="D89" s="67">
        <f t="shared" si="116"/>
        <v>0.68</v>
      </c>
      <c r="E89" s="67">
        <f>SUM(E75:E88)</f>
        <v>0.35</v>
      </c>
      <c r="F89" s="66">
        <f t="shared" si="116"/>
        <v>1.18</v>
      </c>
      <c r="G89" s="67">
        <f t="shared" si="116"/>
        <v>0.41</v>
      </c>
      <c r="H89" s="67">
        <f t="shared" si="116"/>
        <v>0.53999999999999992</v>
      </c>
      <c r="I89" s="67">
        <f t="shared" si="116"/>
        <v>0.94</v>
      </c>
      <c r="J89" s="67">
        <f t="shared" si="116"/>
        <v>0.62</v>
      </c>
      <c r="K89" s="66">
        <f t="shared" si="116"/>
        <v>2.5099999999999998</v>
      </c>
      <c r="L89" s="67">
        <f t="shared" si="116"/>
        <v>0.69</v>
      </c>
      <c r="M89" s="67">
        <f t="shared" si="116"/>
        <v>0.75</v>
      </c>
      <c r="N89" s="67">
        <f t="shared" si="116"/>
        <v>0.87000000000000011</v>
      </c>
      <c r="O89" s="67">
        <f t="shared" si="116"/>
        <v>0.04</v>
      </c>
      <c r="P89" s="66">
        <f t="shared" si="116"/>
        <v>2.2800000000000002</v>
      </c>
      <c r="Q89" s="67">
        <f t="shared" ref="Q89:R89" si="117">SUM(Q75:Q88)</f>
        <v>7.9999999999999988E-2</v>
      </c>
      <c r="R89" s="67">
        <f t="shared" si="117"/>
        <v>0.25</v>
      </c>
      <c r="S89" s="67">
        <f t="shared" ref="S89:U89" si="118">SUM(S75:S88)</f>
        <v>0.3</v>
      </c>
      <c r="T89" s="67">
        <f t="shared" si="118"/>
        <v>0.17</v>
      </c>
      <c r="U89" s="66">
        <f t="shared" si="118"/>
        <v>0.79999999999999993</v>
      </c>
      <c r="V89" s="67">
        <f t="shared" ref="V89:W89" si="119">SUM(V75:V88)</f>
        <v>0.21999999999999997</v>
      </c>
      <c r="W89" s="67">
        <f t="shared" si="119"/>
        <v>0.04</v>
      </c>
      <c r="X89" s="67">
        <f t="shared" ref="X89:AA89" si="120">SUM(X75:X88)</f>
        <v>1.2</v>
      </c>
      <c r="Y89" s="67">
        <f t="shared" si="120"/>
        <v>1.48</v>
      </c>
      <c r="Z89" s="66">
        <f t="shared" si="120"/>
        <v>2.9400000000000004</v>
      </c>
      <c r="AA89" s="67">
        <f t="shared" si="120"/>
        <v>1.94</v>
      </c>
      <c r="AB89" s="67">
        <f t="shared" ref="AB89:AC89" si="121">SUM(AB75:AB88)</f>
        <v>2.77</v>
      </c>
      <c r="AC89" s="67">
        <f t="shared" si="121"/>
        <v>0.91999999999999993</v>
      </c>
      <c r="AD89" s="67">
        <f t="shared" ref="AD89" si="122">SUM(AD75:AD88)</f>
        <v>0.59</v>
      </c>
      <c r="AE89" s="66">
        <f>+AE73/AE36</f>
        <v>6.222123776192797</v>
      </c>
      <c r="AF89" s="67">
        <f t="shared" ref="AF89:AG89" si="123">SUM(AF75:AF88)</f>
        <v>2.5038198583801328</v>
      </c>
      <c r="AG89" s="67">
        <f t="shared" si="123"/>
        <v>1.6126003352867848</v>
      </c>
      <c r="AH89" s="67">
        <f t="shared" ref="AH89:AI89" si="124">SUM(AH75:AH88)</f>
        <v>0.74154288586106765</v>
      </c>
      <c r="AI89" s="67">
        <f t="shared" si="124"/>
        <v>0.11769291866266228</v>
      </c>
      <c r="AJ89" s="66">
        <f>+AJ73/AJ36</f>
        <v>4.7999520035106</v>
      </c>
    </row>
    <row r="90" spans="1:36" ht="13.5" thickTop="1" x14ac:dyDescent="0.2"/>
    <row r="91" spans="1:36" ht="13.5" x14ac:dyDescent="0.2">
      <c r="A91" s="65" t="s">
        <v>185</v>
      </c>
    </row>
    <row r="92" spans="1:36" ht="13.5" x14ac:dyDescent="0.2">
      <c r="A92" s="65" t="s">
        <v>166</v>
      </c>
    </row>
    <row r="93" spans="1:36" ht="13.5" x14ac:dyDescent="0.2">
      <c r="A93" s="65" t="s">
        <v>169</v>
      </c>
    </row>
    <row r="94" spans="1:36" ht="13.5" x14ac:dyDescent="0.2">
      <c r="A94" s="65" t="s">
        <v>170</v>
      </c>
    </row>
    <row r="95" spans="1:36" ht="24" customHeight="1" x14ac:dyDescent="0.2">
      <c r="A95" s="93" t="s">
        <v>173</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row>
    <row r="96" spans="1:36" ht="28.5" customHeight="1" x14ac:dyDescent="0.2">
      <c r="A96" s="94" t="s">
        <v>175</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row>
    <row r="97" spans="1:36" ht="14.25" x14ac:dyDescent="0.2">
      <c r="A97" s="2" t="s">
        <v>181</v>
      </c>
    </row>
    <row r="98" spans="1:36" ht="14.25" x14ac:dyDescent="0.2">
      <c r="A98" s="2" t="s">
        <v>210</v>
      </c>
    </row>
    <row r="99" spans="1:36" ht="30" customHeight="1" x14ac:dyDescent="0.2">
      <c r="A99" s="94" t="s">
        <v>190</v>
      </c>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row>
  </sheetData>
  <mergeCells count="3">
    <mergeCell ref="A95:AJ95"/>
    <mergeCell ref="A96:AJ96"/>
    <mergeCell ref="A99:AJ99"/>
  </mergeCells>
  <conditionalFormatting sqref="A77:AC86 A7:AC23 A25:AC60 A62:AC75 A88:AC89 A87:Z87">
    <cfRule type="expression" dxfId="840" priority="290" stopIfTrue="1">
      <formula>MOD(ROW(),2)=1</formula>
    </cfRule>
  </conditionalFormatting>
  <conditionalFormatting sqref="A61:E61 G61:J61 L61:O61 Q61:T61 V61:Y61 AA61:AC61">
    <cfRule type="expression" dxfId="839" priority="69" stopIfTrue="1">
      <formula>MOD(ROW(),2)=1</formula>
    </cfRule>
  </conditionalFormatting>
  <conditionalFormatting sqref="F61">
    <cfRule type="expression" dxfId="838" priority="68" stopIfTrue="1">
      <formula>MOD(ROW(),2)=1</formula>
    </cfRule>
  </conditionalFormatting>
  <conditionalFormatting sqref="K61">
    <cfRule type="expression" dxfId="837" priority="67" stopIfTrue="1">
      <formula>MOD(ROW(),2)=1</formula>
    </cfRule>
  </conditionalFormatting>
  <conditionalFormatting sqref="P61">
    <cfRule type="expression" dxfId="836" priority="66" stopIfTrue="1">
      <formula>MOD(ROW(),2)=1</formula>
    </cfRule>
  </conditionalFormatting>
  <conditionalFormatting sqref="U61">
    <cfRule type="expression" dxfId="835" priority="65" stopIfTrue="1">
      <formula>MOD(ROW(),2)=1</formula>
    </cfRule>
  </conditionalFormatting>
  <conditionalFormatting sqref="Z61">
    <cfRule type="expression" dxfId="834" priority="64" stopIfTrue="1">
      <formula>MOD(ROW(),2)=1</formula>
    </cfRule>
  </conditionalFormatting>
  <conditionalFormatting sqref="A76:AC76">
    <cfRule type="expression" dxfId="833" priority="63" stopIfTrue="1">
      <formula>MOD(ROW(),2)=1</formula>
    </cfRule>
  </conditionalFormatting>
  <conditionalFormatting sqref="AD7:AD23 AD77:AD86 AD25:AD60 AD62:AD75 AD88:AD89">
    <cfRule type="expression" dxfId="832" priority="62" stopIfTrue="1">
      <formula>MOD(ROW(),2)=1</formula>
    </cfRule>
  </conditionalFormatting>
  <conditionalFormatting sqref="AD61">
    <cfRule type="expression" dxfId="831" priority="61" stopIfTrue="1">
      <formula>MOD(ROW(),2)=1</formula>
    </cfRule>
  </conditionalFormatting>
  <conditionalFormatting sqref="AD76">
    <cfRule type="expression" dxfId="830" priority="60" stopIfTrue="1">
      <formula>MOD(ROW(),2)=1</formula>
    </cfRule>
  </conditionalFormatting>
  <conditionalFormatting sqref="AE89 AE7:AE23 AE25:AE29 AE62:AE75 AE33:AE60">
    <cfRule type="expression" dxfId="829" priority="56" stopIfTrue="1">
      <formula>MOD(ROW(),2)=1</formula>
    </cfRule>
  </conditionalFormatting>
  <conditionalFormatting sqref="AE61:AE72">
    <cfRule type="expression" dxfId="828" priority="55" stopIfTrue="1">
      <formula>MOD(ROW(),2)=1</formula>
    </cfRule>
  </conditionalFormatting>
  <conditionalFormatting sqref="AE76">
    <cfRule type="expression" dxfId="827" priority="54" stopIfTrue="1">
      <formula>MOD(ROW(),2)=1</formula>
    </cfRule>
  </conditionalFormatting>
  <conditionalFormatting sqref="AE77:AE86 AE88">
    <cfRule type="expression" dxfId="826" priority="53" stopIfTrue="1">
      <formula>MOD(ROW(),2)=1</formula>
    </cfRule>
  </conditionalFormatting>
  <conditionalFormatting sqref="AF7:AF23 AF77:AF86 AF25:AF29 AF62:AF75 AF32:AF60 AF88:AF89">
    <cfRule type="expression" dxfId="825" priority="52" stopIfTrue="1">
      <formula>MOD(ROW(),2)=1</formula>
    </cfRule>
  </conditionalFormatting>
  <conditionalFormatting sqref="AF61:AG61">
    <cfRule type="expression" dxfId="824" priority="51" stopIfTrue="1">
      <formula>MOD(ROW(),2)=1</formula>
    </cfRule>
  </conditionalFormatting>
  <conditionalFormatting sqref="AF76:AG76">
    <cfRule type="expression" dxfId="823" priority="50" stopIfTrue="1">
      <formula>MOD(ROW(),2)=1</formula>
    </cfRule>
  </conditionalFormatting>
  <conditionalFormatting sqref="AG7:AG23 AG77:AG86 AG25:AG29 AG62:AG75 AG32:AG60 AG88:AG89 AA87:AG87">
    <cfRule type="expression" dxfId="822" priority="49" stopIfTrue="1">
      <formula>MOD(ROW(),2)=1</formula>
    </cfRule>
  </conditionalFormatting>
  <conditionalFormatting sqref="AH61">
    <cfRule type="expression" dxfId="821" priority="48" stopIfTrue="1">
      <formula>MOD(ROW(),2)=1</formula>
    </cfRule>
  </conditionalFormatting>
  <conditionalFormatting sqref="AH76">
    <cfRule type="expression" dxfId="820" priority="47" stopIfTrue="1">
      <formula>MOD(ROW(),2)=1</formula>
    </cfRule>
  </conditionalFormatting>
  <conditionalFormatting sqref="AH62:AH75 AH77:AH89 AH25:AH29 AH7:AH23 AI60 AI40:AI42 AI45 AI47:AI49 AI53:AI55 AI57:AI58 AI75:AI81 AI88:AI89 AI72:AI73 AH32:AH60">
    <cfRule type="expression" dxfId="819" priority="46" stopIfTrue="1">
      <formula>MOD(ROW(),2)=1</formula>
    </cfRule>
  </conditionalFormatting>
  <conditionalFormatting sqref="A24:AC24">
    <cfRule type="expression" dxfId="818" priority="39" stopIfTrue="1">
      <formula>MOD(ROW(),2)=1</formula>
    </cfRule>
  </conditionalFormatting>
  <conditionalFormatting sqref="AD24">
    <cfRule type="expression" dxfId="817" priority="38" stopIfTrue="1">
      <formula>MOD(ROW(),2)=1</formula>
    </cfRule>
  </conditionalFormatting>
  <conditionalFormatting sqref="AE24">
    <cfRule type="expression" dxfId="816" priority="37" stopIfTrue="1">
      <formula>MOD(ROW(),2)=1</formula>
    </cfRule>
  </conditionalFormatting>
  <conditionalFormatting sqref="AF24">
    <cfRule type="expression" dxfId="815" priority="36" stopIfTrue="1">
      <formula>MOD(ROW(),2)=1</formula>
    </cfRule>
  </conditionalFormatting>
  <conditionalFormatting sqref="AG24">
    <cfRule type="expression" dxfId="814" priority="35" stopIfTrue="1">
      <formula>MOD(ROW(),2)=1</formula>
    </cfRule>
  </conditionalFormatting>
  <conditionalFormatting sqref="AH24">
    <cfRule type="expression" dxfId="813" priority="34" stopIfTrue="1">
      <formula>MOD(ROW(),2)=1</formula>
    </cfRule>
  </conditionalFormatting>
  <conditionalFormatting sqref="AI7:AI11 AI66 AI82 AI26 AI59 AI74 AI14 AI20 AI23 AI28:AI29 AI43:AI44 AI46 AI50:AI52 AI56 AI87 AI71 AI32:AI39">
    <cfRule type="expression" dxfId="812" priority="31" stopIfTrue="1">
      <formula>MOD(ROW(),2)=1</formula>
    </cfRule>
  </conditionalFormatting>
  <conditionalFormatting sqref="AI24">
    <cfRule type="expression" dxfId="811" priority="27" stopIfTrue="1">
      <formula>MOD(ROW(),2)=1</formula>
    </cfRule>
  </conditionalFormatting>
  <conditionalFormatting sqref="AJ89 AJ62:AJ75 AJ7:AJ60">
    <cfRule type="expression" dxfId="810" priority="25" stopIfTrue="1">
      <formula>MOD(ROW(),2)=1</formula>
    </cfRule>
  </conditionalFormatting>
  <conditionalFormatting sqref="AJ61:AJ72">
    <cfRule type="expression" dxfId="809" priority="24" stopIfTrue="1">
      <formula>MOD(ROW(),2)=1</formula>
    </cfRule>
  </conditionalFormatting>
  <conditionalFormatting sqref="AJ76">
    <cfRule type="expression" dxfId="808" priority="23" stopIfTrue="1">
      <formula>MOD(ROW(),2)=1</formula>
    </cfRule>
  </conditionalFormatting>
  <conditionalFormatting sqref="AJ77 AJ88 AJ79:AJ86">
    <cfRule type="expression" dxfId="807" priority="22" stopIfTrue="1">
      <formula>MOD(ROW(),2)=1</formula>
    </cfRule>
  </conditionalFormatting>
  <conditionalFormatting sqref="AI12">
    <cfRule type="expression" dxfId="806" priority="20" stopIfTrue="1">
      <formula>MOD(ROW(),2)=1</formula>
    </cfRule>
  </conditionalFormatting>
  <conditionalFormatting sqref="AI13">
    <cfRule type="expression" dxfId="805" priority="19" stopIfTrue="1">
      <formula>MOD(ROW(),2)=1</formula>
    </cfRule>
  </conditionalFormatting>
  <conditionalFormatting sqref="AI15">
    <cfRule type="expression" dxfId="804" priority="18" stopIfTrue="1">
      <formula>MOD(ROW(),2)=1</formula>
    </cfRule>
  </conditionalFormatting>
  <conditionalFormatting sqref="AI16">
    <cfRule type="expression" dxfId="803" priority="17" stopIfTrue="1">
      <formula>MOD(ROW(),2)=1</formula>
    </cfRule>
  </conditionalFormatting>
  <conditionalFormatting sqref="AI17">
    <cfRule type="expression" dxfId="802" priority="16" stopIfTrue="1">
      <formula>MOD(ROW(),2)=1</formula>
    </cfRule>
  </conditionalFormatting>
  <conditionalFormatting sqref="AI18">
    <cfRule type="expression" dxfId="801" priority="15" stopIfTrue="1">
      <formula>MOD(ROW(),2)=1</formula>
    </cfRule>
  </conditionalFormatting>
  <conditionalFormatting sqref="AI19">
    <cfRule type="expression" dxfId="800" priority="14" stopIfTrue="1">
      <formula>MOD(ROW(),2)=1</formula>
    </cfRule>
  </conditionalFormatting>
  <conditionalFormatting sqref="AI21:AI22">
    <cfRule type="expression" dxfId="799" priority="13" stopIfTrue="1">
      <formula>MOD(ROW(),2)=1</formula>
    </cfRule>
  </conditionalFormatting>
  <conditionalFormatting sqref="AI25">
    <cfRule type="expression" dxfId="798" priority="12" stopIfTrue="1">
      <formula>MOD(ROW(),2)=1</formula>
    </cfRule>
  </conditionalFormatting>
  <conditionalFormatting sqref="AI27">
    <cfRule type="expression" dxfId="797" priority="11" stopIfTrue="1">
      <formula>MOD(ROW(),2)=1</formula>
    </cfRule>
  </conditionalFormatting>
  <conditionalFormatting sqref="AI83:AI86">
    <cfRule type="expression" dxfId="796" priority="10" stopIfTrue="1">
      <formula>MOD(ROW(),2)=1</formula>
    </cfRule>
  </conditionalFormatting>
  <conditionalFormatting sqref="AI61:AI65">
    <cfRule type="expression" dxfId="795" priority="9" stopIfTrue="1">
      <formula>MOD(ROW(),2)=1</formula>
    </cfRule>
  </conditionalFormatting>
  <conditionalFormatting sqref="AI67:AI70">
    <cfRule type="expression" dxfId="794" priority="8" stopIfTrue="1">
      <formula>MOD(ROW(),2)=1</formula>
    </cfRule>
  </conditionalFormatting>
  <conditionalFormatting sqref="AJ87">
    <cfRule type="expression" dxfId="793" priority="7" stopIfTrue="1">
      <formula>MOD(ROW(),2)=1</formula>
    </cfRule>
  </conditionalFormatting>
  <conditionalFormatting sqref="AE30">
    <cfRule type="expression" dxfId="792" priority="6" stopIfTrue="1">
      <formula>MOD(ROW(),2)=1</formula>
    </cfRule>
  </conditionalFormatting>
  <conditionalFormatting sqref="AE31">
    <cfRule type="expression" dxfId="791" priority="5" stopIfTrue="1">
      <formula>MOD(ROW(),2)=1</formula>
    </cfRule>
  </conditionalFormatting>
  <conditionalFormatting sqref="AE32">
    <cfRule type="expression" dxfId="790" priority="4" stopIfTrue="1">
      <formula>MOD(ROW(),2)=1</formula>
    </cfRule>
  </conditionalFormatting>
  <conditionalFormatting sqref="AF30:AI30">
    <cfRule type="expression" dxfId="789" priority="3" stopIfTrue="1">
      <formula>MOD(ROW(),2)=1</formula>
    </cfRule>
  </conditionalFormatting>
  <conditionalFormatting sqref="AF31:AI31">
    <cfRule type="expression" dxfId="788" priority="2" stopIfTrue="1">
      <formula>MOD(ROW(),2)=1</formula>
    </cfRule>
  </conditionalFormatting>
  <conditionalFormatting sqref="AJ78">
    <cfRule type="expression" dxfId="787" priority="1" stopIfTrue="1">
      <formula>MOD(ROW(),2)=1</formula>
    </cfRule>
  </conditionalFormatting>
  <pageMargins left="0.7" right="0.7" top="0.75" bottom="0.75" header="0.3" footer="0.3"/>
  <pageSetup paperSize="5" scale="50" orientation="portrait" horizontalDpi="1200" verticalDpi="1200" r:id="rId1"/>
  <ignoredErrors>
    <ignoredError sqref="F58:P58 F88:P89 F67:I67 G59:P59 L67:O67 F65:P66 F49:P49 F40:P44 F60:P60 F72:P75 F26:P38 Z53 Z55 Z60 AE25 AE53 AE55 F51:P56 F68:P70 F80:P86 AJ78 AE69 AJ82 AJ87 AE89" formula="1"/>
    <ignoredError sqref="P67" formula="1" formulaRange="1"/>
    <ignoredError sqref="AE88 AE85 AJ24 AE3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71D1D-C29A-4CC3-891F-F37A55BE8CE0}">
  <sheetPr>
    <tabColor theme="9" tint="0.59999389629810485"/>
    <pageSetUpPr fitToPage="1"/>
  </sheetPr>
  <dimension ref="A1:AC45"/>
  <sheetViews>
    <sheetView showGridLines="0" zoomScaleNormal="100" workbookViewId="0">
      <pane xSplit="1" ySplit="5" topLeftCell="M6" activePane="bottomRight" state="frozen"/>
      <selection activeCell="AB28" sqref="AB28"/>
      <selection pane="topRight" activeCell="AB28" sqref="AB28"/>
      <selection pane="bottomLeft" activeCell="AB28" sqref="AB28"/>
      <selection pane="bottomRight" activeCell="AB28" sqref="AB28"/>
    </sheetView>
  </sheetViews>
  <sheetFormatPr defaultColWidth="9.28515625" defaultRowHeight="12.75" outlineLevelCol="1" x14ac:dyDescent="0.2"/>
  <cols>
    <col min="1" max="1" width="63.7109375" style="2" customWidth="1"/>
    <col min="2" max="16" width="13.7109375" style="2" hidden="1" customWidth="1" outlineLevel="1"/>
    <col min="17" max="17" width="13.7109375" style="82" hidden="1" customWidth="1" outlineLevel="1"/>
    <col min="18" max="20" width="13.7109375" style="2" hidden="1" customWidth="1" outlineLevel="1"/>
    <col min="21" max="21" width="13.7109375" style="82" hidden="1" customWidth="1" outlineLevel="1"/>
    <col min="22" max="22" width="13.7109375" style="2" customWidth="1" collapsed="1"/>
    <col min="23" max="24" width="13.7109375" style="2" customWidth="1"/>
    <col min="25" max="25" width="13.7109375" style="82" customWidth="1"/>
    <col min="26" max="28" width="13.7109375" style="2" customWidth="1"/>
    <col min="29" max="29" width="13.7109375" style="82" customWidth="1"/>
    <col min="30" max="16384" width="9.28515625" style="2"/>
  </cols>
  <sheetData>
    <row r="1" spans="1:29" s="16" customFormat="1" x14ac:dyDescent="0.2">
      <c r="A1" s="31" t="s">
        <v>73</v>
      </c>
      <c r="B1" s="15"/>
      <c r="C1" s="15"/>
      <c r="D1" s="15"/>
      <c r="E1" s="15"/>
      <c r="F1" s="15"/>
      <c r="G1" s="15"/>
      <c r="H1" s="15" t="s">
        <v>89</v>
      </c>
      <c r="I1" s="15"/>
      <c r="J1" s="15"/>
      <c r="K1" s="15"/>
      <c r="L1" s="15"/>
      <c r="M1" s="15"/>
      <c r="N1" s="15"/>
      <c r="O1" s="15"/>
      <c r="P1" s="15"/>
      <c r="Q1" s="15"/>
      <c r="R1" s="15"/>
      <c r="S1" s="15"/>
      <c r="T1" s="15"/>
      <c r="U1" s="15"/>
      <c r="V1" s="15"/>
      <c r="W1" s="15"/>
      <c r="X1" s="15"/>
      <c r="Y1" s="15"/>
      <c r="Z1" s="15"/>
      <c r="AA1" s="15"/>
      <c r="AB1" s="15"/>
      <c r="AC1" s="15"/>
    </row>
    <row r="2" spans="1:29" s="16" customFormat="1" x14ac:dyDescent="0.2">
      <c r="A2" s="31" t="s">
        <v>94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s="16" customFormat="1" x14ac:dyDescent="0.2">
      <c r="A3" s="17" t="s">
        <v>131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s="16" customFormat="1" x14ac:dyDescent="0.2">
      <c r="A4" s="17" t="s">
        <v>130</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29" s="14" customFormat="1" ht="13.15" customHeight="1" x14ac:dyDescent="0.2">
      <c r="B5" s="37">
        <v>42460</v>
      </c>
      <c r="C5" s="37">
        <v>42551</v>
      </c>
      <c r="D5" s="37">
        <v>42643</v>
      </c>
      <c r="E5" s="36">
        <v>42735</v>
      </c>
      <c r="F5" s="37">
        <v>42825</v>
      </c>
      <c r="G5" s="37">
        <v>42916</v>
      </c>
      <c r="H5" s="37">
        <v>43008</v>
      </c>
      <c r="I5" s="36">
        <v>43100</v>
      </c>
      <c r="J5" s="37">
        <v>43190</v>
      </c>
      <c r="K5" s="37">
        <v>43281</v>
      </c>
      <c r="L5" s="37">
        <v>43373</v>
      </c>
      <c r="M5" s="36">
        <v>43465</v>
      </c>
      <c r="N5" s="37">
        <v>43555</v>
      </c>
      <c r="O5" s="37">
        <v>43646</v>
      </c>
      <c r="P5" s="37">
        <v>43738</v>
      </c>
      <c r="Q5" s="36">
        <v>43830</v>
      </c>
      <c r="R5" s="37">
        <v>43921</v>
      </c>
      <c r="S5" s="37">
        <v>44012</v>
      </c>
      <c r="T5" s="37">
        <v>44104</v>
      </c>
      <c r="U5" s="36">
        <v>44196</v>
      </c>
      <c r="V5" s="37">
        <v>44286</v>
      </c>
      <c r="W5" s="37">
        <v>44377</v>
      </c>
      <c r="X5" s="37">
        <v>44469</v>
      </c>
      <c r="Y5" s="36">
        <v>44561</v>
      </c>
      <c r="Z5" s="37">
        <v>44651</v>
      </c>
      <c r="AA5" s="37">
        <v>44742</v>
      </c>
      <c r="AB5" s="37">
        <v>44834</v>
      </c>
      <c r="AC5" s="36">
        <v>44926</v>
      </c>
    </row>
    <row r="6" spans="1:29" x14ac:dyDescent="0.2">
      <c r="A6" s="32" t="s">
        <v>13</v>
      </c>
      <c r="B6" s="3"/>
      <c r="C6" s="3"/>
      <c r="D6" s="3"/>
      <c r="E6" s="20"/>
      <c r="F6" s="3"/>
      <c r="G6" s="3"/>
      <c r="H6" s="3"/>
      <c r="I6" s="20"/>
      <c r="J6" s="3"/>
      <c r="K6" s="3"/>
      <c r="L6" s="3"/>
      <c r="M6" s="20"/>
      <c r="N6" s="3"/>
      <c r="O6" s="3"/>
      <c r="P6" s="3"/>
      <c r="Q6" s="20"/>
      <c r="R6" s="3"/>
      <c r="S6" s="3"/>
      <c r="T6" s="3"/>
      <c r="U6" s="20"/>
      <c r="V6" s="3"/>
      <c r="W6" s="3"/>
      <c r="X6" s="3"/>
      <c r="Y6" s="20"/>
      <c r="Z6" s="3"/>
      <c r="AA6" s="3"/>
      <c r="AB6" s="3"/>
      <c r="AC6" s="20"/>
    </row>
    <row r="7" spans="1:29" x14ac:dyDescent="0.2">
      <c r="A7" s="1" t="s">
        <v>14</v>
      </c>
      <c r="B7" s="3"/>
      <c r="C7" s="3"/>
      <c r="D7" s="3"/>
      <c r="E7" s="20"/>
      <c r="F7" s="3"/>
      <c r="G7" s="3"/>
      <c r="H7" s="3"/>
      <c r="I7" s="20"/>
      <c r="J7" s="3"/>
      <c r="K7" s="3"/>
      <c r="L7" s="3"/>
      <c r="M7" s="20"/>
      <c r="N7" s="3"/>
      <c r="O7" s="3"/>
      <c r="P7" s="3"/>
      <c r="Q7" s="20"/>
      <c r="R7" s="3"/>
      <c r="S7" s="3"/>
      <c r="T7" s="3"/>
      <c r="U7" s="20"/>
      <c r="V7" s="3"/>
      <c r="W7" s="3"/>
      <c r="X7" s="3"/>
      <c r="Y7" s="20"/>
      <c r="Z7" s="3"/>
      <c r="AA7" s="3"/>
      <c r="AB7" s="3"/>
      <c r="AC7" s="20"/>
    </row>
    <row r="8" spans="1:29" x14ac:dyDescent="0.2">
      <c r="A8" s="4" t="s">
        <v>15</v>
      </c>
      <c r="B8" s="11">
        <v>7824</v>
      </c>
      <c r="C8" s="11">
        <v>65378</v>
      </c>
      <c r="D8" s="11">
        <v>72855</v>
      </c>
      <c r="E8" s="26">
        <v>82584</v>
      </c>
      <c r="F8" s="11">
        <v>101664</v>
      </c>
      <c r="G8" s="11">
        <v>110324</v>
      </c>
      <c r="H8" s="11">
        <v>116803</v>
      </c>
      <c r="I8" s="26">
        <v>120457</v>
      </c>
      <c r="J8" s="11">
        <v>102340</v>
      </c>
      <c r="K8" s="11">
        <v>125719</v>
      </c>
      <c r="L8" s="11">
        <v>137535</v>
      </c>
      <c r="M8" s="26">
        <v>76639</v>
      </c>
      <c r="N8" s="11">
        <v>104787</v>
      </c>
      <c r="O8" s="11">
        <v>97970</v>
      </c>
      <c r="P8" s="11">
        <v>94747</v>
      </c>
      <c r="Q8" s="26">
        <v>83310</v>
      </c>
      <c r="R8" s="11">
        <v>79484</v>
      </c>
      <c r="S8" s="11">
        <v>80987</v>
      </c>
      <c r="T8" s="11">
        <v>148919</v>
      </c>
      <c r="U8" s="26">
        <v>252340</v>
      </c>
      <c r="V8" s="11">
        <v>382032</v>
      </c>
      <c r="W8" s="11">
        <v>512030</v>
      </c>
      <c r="X8" s="11">
        <v>592767</v>
      </c>
      <c r="Y8" s="26">
        <v>296151</v>
      </c>
      <c r="Z8" s="11">
        <v>470918</v>
      </c>
      <c r="AA8" s="11">
        <v>511157</v>
      </c>
      <c r="AB8" s="11">
        <v>484018</v>
      </c>
      <c r="AC8" s="26">
        <v>343809</v>
      </c>
    </row>
    <row r="9" spans="1:29" x14ac:dyDescent="0.2">
      <c r="A9" s="33" t="s">
        <v>126</v>
      </c>
      <c r="B9" s="5">
        <v>14710</v>
      </c>
      <c r="C9" s="5">
        <v>22531</v>
      </c>
      <c r="D9" s="5">
        <v>37175</v>
      </c>
      <c r="E9" s="21">
        <v>14842</v>
      </c>
      <c r="F9" s="5">
        <v>16328</v>
      </c>
      <c r="G9" s="5">
        <v>23536</v>
      </c>
      <c r="H9" s="5">
        <v>23461</v>
      </c>
      <c r="I9" s="21">
        <v>11240</v>
      </c>
      <c r="J9" s="5">
        <v>28212</v>
      </c>
      <c r="K9" s="5">
        <v>43322</v>
      </c>
      <c r="L9" s="5">
        <v>39029</v>
      </c>
      <c r="M9" s="21">
        <v>21405</v>
      </c>
      <c r="N9" s="5">
        <v>18009</v>
      </c>
      <c r="O9" s="5">
        <v>24479</v>
      </c>
      <c r="P9" s="5">
        <v>27214</v>
      </c>
      <c r="Q9" s="21">
        <v>14167</v>
      </c>
      <c r="R9" s="5">
        <v>23356</v>
      </c>
      <c r="S9" s="5">
        <v>24588</v>
      </c>
      <c r="T9" s="5">
        <v>50084</v>
      </c>
      <c r="U9" s="21">
        <v>26606</v>
      </c>
      <c r="V9" s="5">
        <v>41920</v>
      </c>
      <c r="W9" s="5">
        <v>56694</v>
      </c>
      <c r="X9" s="5">
        <v>27789</v>
      </c>
      <c r="Y9" s="21">
        <v>31028</v>
      </c>
      <c r="Z9" s="5">
        <v>40094</v>
      </c>
      <c r="AA9" s="5">
        <v>43989</v>
      </c>
      <c r="AB9" s="5">
        <v>37224</v>
      </c>
      <c r="AC9" s="21">
        <v>22813</v>
      </c>
    </row>
    <row r="10" spans="1:29" x14ac:dyDescent="0.2">
      <c r="A10" s="4" t="s">
        <v>136</v>
      </c>
      <c r="B10" s="5">
        <v>25028</v>
      </c>
      <c r="C10" s="5">
        <v>30045</v>
      </c>
      <c r="D10" s="5">
        <v>41006</v>
      </c>
      <c r="E10" s="21">
        <v>52622</v>
      </c>
      <c r="F10" s="5">
        <v>45347</v>
      </c>
      <c r="G10" s="5">
        <v>40124</v>
      </c>
      <c r="H10" s="5">
        <v>39261</v>
      </c>
      <c r="I10" s="21">
        <v>50132</v>
      </c>
      <c r="J10" s="5">
        <v>62153</v>
      </c>
      <c r="K10" s="5">
        <v>63384</v>
      </c>
      <c r="L10" s="5">
        <v>73864</v>
      </c>
      <c r="M10" s="21">
        <v>60805</v>
      </c>
      <c r="N10" s="5">
        <v>62408</v>
      </c>
      <c r="O10" s="5">
        <v>54121</v>
      </c>
      <c r="P10" s="5">
        <v>54202</v>
      </c>
      <c r="Q10" s="21">
        <v>65781</v>
      </c>
      <c r="R10" s="5">
        <v>55707</v>
      </c>
      <c r="S10" s="5">
        <v>52215</v>
      </c>
      <c r="T10" s="5">
        <v>58572</v>
      </c>
      <c r="U10" s="21">
        <v>62036</v>
      </c>
      <c r="V10" s="5">
        <v>62663</v>
      </c>
      <c r="W10" s="5">
        <v>73074</v>
      </c>
      <c r="X10" s="5">
        <v>69862</v>
      </c>
      <c r="Y10" s="21">
        <v>72369</v>
      </c>
      <c r="Z10" s="5">
        <v>67673</v>
      </c>
      <c r="AA10" s="5">
        <v>64247</v>
      </c>
      <c r="AB10" s="5">
        <v>62584</v>
      </c>
      <c r="AC10" s="21">
        <v>67958</v>
      </c>
    </row>
    <row r="11" spans="1:29" x14ac:dyDescent="0.2">
      <c r="A11" s="4" t="s">
        <v>16</v>
      </c>
      <c r="B11" s="5">
        <v>14106</v>
      </c>
      <c r="C11" s="5">
        <v>17162</v>
      </c>
      <c r="D11" s="5">
        <v>9940</v>
      </c>
      <c r="E11" s="21">
        <v>13597</v>
      </c>
      <c r="F11" s="5">
        <v>8675</v>
      </c>
      <c r="G11" s="5">
        <v>12396</v>
      </c>
      <c r="H11" s="5">
        <v>8820</v>
      </c>
      <c r="I11" s="21">
        <v>11478</v>
      </c>
      <c r="J11" s="5">
        <v>21824</v>
      </c>
      <c r="K11" s="5">
        <v>18025</v>
      </c>
      <c r="L11" s="5">
        <v>18988</v>
      </c>
      <c r="M11" s="21">
        <v>22675</v>
      </c>
      <c r="N11" s="5">
        <v>18625</v>
      </c>
      <c r="O11" s="5">
        <v>19890</v>
      </c>
      <c r="P11" s="5">
        <v>23492</v>
      </c>
      <c r="Q11" s="21">
        <v>20183</v>
      </c>
      <c r="R11" s="5">
        <v>15626</v>
      </c>
      <c r="S11" s="5">
        <v>22107</v>
      </c>
      <c r="T11" s="5">
        <v>21090</v>
      </c>
      <c r="U11" s="21">
        <v>16136</v>
      </c>
      <c r="V11" s="5">
        <v>20959</v>
      </c>
      <c r="W11" s="5">
        <v>24475</v>
      </c>
      <c r="X11" s="5">
        <v>24460</v>
      </c>
      <c r="Y11" s="21">
        <v>21630</v>
      </c>
      <c r="Z11" s="5">
        <v>21938</v>
      </c>
      <c r="AA11" s="5">
        <v>31833</v>
      </c>
      <c r="AB11" s="5">
        <v>41551</v>
      </c>
      <c r="AC11" s="21">
        <v>36955</v>
      </c>
    </row>
    <row r="12" spans="1:29" x14ac:dyDescent="0.2">
      <c r="A12" s="4" t="s">
        <v>112</v>
      </c>
      <c r="B12" s="6">
        <v>0</v>
      </c>
      <c r="C12" s="6">
        <v>0</v>
      </c>
      <c r="D12" s="6">
        <v>0</v>
      </c>
      <c r="E12" s="22">
        <v>0</v>
      </c>
      <c r="F12" s="6">
        <v>0</v>
      </c>
      <c r="G12" s="6">
        <v>0</v>
      </c>
      <c r="H12" s="6">
        <v>0</v>
      </c>
      <c r="I12" s="22">
        <v>0</v>
      </c>
      <c r="J12" s="6">
        <v>0</v>
      </c>
      <c r="K12" s="6">
        <v>0</v>
      </c>
      <c r="L12" s="6">
        <v>0</v>
      </c>
      <c r="M12" s="22">
        <v>80674</v>
      </c>
      <c r="N12" s="6">
        <v>0</v>
      </c>
      <c r="O12" s="6">
        <v>0</v>
      </c>
      <c r="P12" s="6">
        <v>0</v>
      </c>
      <c r="Q12" s="22">
        <v>0</v>
      </c>
      <c r="R12" s="6">
        <v>0</v>
      </c>
      <c r="S12" s="6">
        <v>0</v>
      </c>
      <c r="T12" s="6">
        <v>0</v>
      </c>
      <c r="U12" s="22">
        <v>0</v>
      </c>
      <c r="V12" s="6">
        <v>0</v>
      </c>
      <c r="W12" s="6">
        <v>0</v>
      </c>
      <c r="X12" s="6">
        <v>0</v>
      </c>
      <c r="Y12" s="22">
        <v>0</v>
      </c>
      <c r="Z12" s="6">
        <v>0</v>
      </c>
      <c r="AA12" s="6">
        <v>0</v>
      </c>
      <c r="AB12" s="6">
        <v>0</v>
      </c>
      <c r="AC12" s="22">
        <v>0</v>
      </c>
    </row>
    <row r="13" spans="1:29" x14ac:dyDescent="0.2">
      <c r="A13" s="34" t="s">
        <v>17</v>
      </c>
      <c r="B13" s="9">
        <f>SUM(B8:B12)</f>
        <v>61668</v>
      </c>
      <c r="C13" s="9">
        <f t="shared" ref="C13:M13" si="0">SUM(C8:C12)</f>
        <v>135116</v>
      </c>
      <c r="D13" s="9">
        <f t="shared" si="0"/>
        <v>160976</v>
      </c>
      <c r="E13" s="24">
        <f t="shared" si="0"/>
        <v>163645</v>
      </c>
      <c r="F13" s="9">
        <f t="shared" si="0"/>
        <v>172014</v>
      </c>
      <c r="G13" s="9">
        <f t="shared" si="0"/>
        <v>186380</v>
      </c>
      <c r="H13" s="9">
        <f t="shared" si="0"/>
        <v>188345</v>
      </c>
      <c r="I13" s="24">
        <f t="shared" si="0"/>
        <v>193307</v>
      </c>
      <c r="J13" s="9">
        <f t="shared" si="0"/>
        <v>214529</v>
      </c>
      <c r="K13" s="9">
        <f t="shared" si="0"/>
        <v>250450</v>
      </c>
      <c r="L13" s="9">
        <f t="shared" si="0"/>
        <v>269416</v>
      </c>
      <c r="M13" s="24">
        <f t="shared" si="0"/>
        <v>262198</v>
      </c>
      <c r="N13" s="9">
        <f t="shared" ref="N13:O13" si="1">SUM(N8:N12)</f>
        <v>203829</v>
      </c>
      <c r="O13" s="9">
        <f t="shared" si="1"/>
        <v>196460</v>
      </c>
      <c r="P13" s="9">
        <f t="shared" ref="P13:Q13" si="2">SUM(P8:P12)</f>
        <v>199655</v>
      </c>
      <c r="Q13" s="24">
        <f t="shared" si="2"/>
        <v>183441</v>
      </c>
      <c r="R13" s="9">
        <f t="shared" ref="R13:S13" si="3">SUM(R8:R12)</f>
        <v>174173</v>
      </c>
      <c r="S13" s="9">
        <f t="shared" si="3"/>
        <v>179897</v>
      </c>
      <c r="T13" s="9">
        <f t="shared" ref="T13:V13" si="4">SUM(T8:T12)</f>
        <v>278665</v>
      </c>
      <c r="U13" s="24">
        <f t="shared" si="4"/>
        <v>357118</v>
      </c>
      <c r="V13" s="9">
        <f t="shared" si="4"/>
        <v>507574</v>
      </c>
      <c r="W13" s="9">
        <f t="shared" ref="W13:X13" si="5">SUM(W8:W12)</f>
        <v>666273</v>
      </c>
      <c r="X13" s="9">
        <f t="shared" si="5"/>
        <v>714878</v>
      </c>
      <c r="Y13" s="24">
        <f t="shared" ref="Y13:Z13" si="6">SUM(Y8:Y12)</f>
        <v>421178</v>
      </c>
      <c r="Z13" s="9">
        <f t="shared" si="6"/>
        <v>600623</v>
      </c>
      <c r="AA13" s="9">
        <f t="shared" ref="AA13:AC13" si="7">SUM(AA8:AA12)</f>
        <v>651226</v>
      </c>
      <c r="AB13" s="9">
        <f t="shared" si="7"/>
        <v>625377</v>
      </c>
      <c r="AC13" s="24">
        <f t="shared" si="7"/>
        <v>471535</v>
      </c>
    </row>
    <row r="14" spans="1:29" x14ac:dyDescent="0.2">
      <c r="A14" s="1" t="s">
        <v>18</v>
      </c>
      <c r="B14" s="5">
        <v>74060</v>
      </c>
      <c r="C14" s="5">
        <v>74558</v>
      </c>
      <c r="D14" s="5">
        <v>73259</v>
      </c>
      <c r="E14" s="21">
        <v>72820</v>
      </c>
      <c r="F14" s="5">
        <v>74466</v>
      </c>
      <c r="G14" s="5">
        <v>74671</v>
      </c>
      <c r="H14" s="5">
        <v>76138</v>
      </c>
      <c r="I14" s="21">
        <v>77229</v>
      </c>
      <c r="J14" s="5">
        <v>343176</v>
      </c>
      <c r="K14" s="5">
        <v>339704</v>
      </c>
      <c r="L14" s="5">
        <v>340146</v>
      </c>
      <c r="M14" s="21">
        <v>272193</v>
      </c>
      <c r="N14" s="5">
        <v>273118</v>
      </c>
      <c r="O14" s="5">
        <v>276592</v>
      </c>
      <c r="P14" s="5">
        <v>278587</v>
      </c>
      <c r="Q14" s="21">
        <v>286383</v>
      </c>
      <c r="R14" s="5">
        <v>286881</v>
      </c>
      <c r="S14" s="5">
        <v>286169</v>
      </c>
      <c r="T14" s="5">
        <v>289305</v>
      </c>
      <c r="U14" s="21">
        <v>288544</v>
      </c>
      <c r="V14" s="5">
        <v>291483</v>
      </c>
      <c r="W14" s="5">
        <v>291550</v>
      </c>
      <c r="X14" s="5">
        <v>286034</v>
      </c>
      <c r="Y14" s="21">
        <v>292320</v>
      </c>
      <c r="Z14" s="5">
        <v>297710</v>
      </c>
      <c r="AA14" s="5">
        <v>314840</v>
      </c>
      <c r="AB14" s="5">
        <v>319232</v>
      </c>
      <c r="AC14" s="21">
        <v>318184</v>
      </c>
    </row>
    <row r="15" spans="1:29" x14ac:dyDescent="0.2">
      <c r="A15" s="1" t="s">
        <v>19</v>
      </c>
      <c r="B15" s="5">
        <v>0</v>
      </c>
      <c r="C15" s="5">
        <v>0</v>
      </c>
      <c r="D15" s="5">
        <v>0</v>
      </c>
      <c r="E15" s="21">
        <v>0</v>
      </c>
      <c r="F15" s="5">
        <v>0</v>
      </c>
      <c r="G15" s="5">
        <v>0</v>
      </c>
      <c r="H15" s="5">
        <v>0</v>
      </c>
      <c r="I15" s="21">
        <v>0</v>
      </c>
      <c r="J15" s="5">
        <v>78454</v>
      </c>
      <c r="K15" s="5">
        <v>75578</v>
      </c>
      <c r="L15" s="5">
        <v>76523</v>
      </c>
      <c r="M15" s="21">
        <v>79537</v>
      </c>
      <c r="N15" s="5">
        <v>80675</v>
      </c>
      <c r="O15" s="5">
        <v>79238</v>
      </c>
      <c r="P15" s="5">
        <v>76924</v>
      </c>
      <c r="Q15" s="21">
        <v>74233</v>
      </c>
      <c r="R15" s="5">
        <v>72582</v>
      </c>
      <c r="S15" s="5">
        <v>73541</v>
      </c>
      <c r="T15" s="5">
        <v>74216</v>
      </c>
      <c r="U15" s="21">
        <v>72355</v>
      </c>
      <c r="V15" s="5">
        <v>69057</v>
      </c>
      <c r="W15" s="5">
        <v>66553</v>
      </c>
      <c r="X15" s="5">
        <v>65048</v>
      </c>
      <c r="Y15" s="21">
        <v>65604</v>
      </c>
      <c r="Z15" s="5">
        <v>61562</v>
      </c>
      <c r="AA15" s="5">
        <v>60143</v>
      </c>
      <c r="AB15" s="5">
        <v>57458</v>
      </c>
      <c r="AC15" s="21">
        <v>55490</v>
      </c>
    </row>
    <row r="16" spans="1:29" x14ac:dyDescent="0.2">
      <c r="A16" s="1" t="s">
        <v>20</v>
      </c>
      <c r="B16" s="5">
        <v>810856</v>
      </c>
      <c r="C16" s="5">
        <v>643814</v>
      </c>
      <c r="D16" s="5">
        <v>647875</v>
      </c>
      <c r="E16" s="21">
        <v>641856</v>
      </c>
      <c r="F16" s="5">
        <v>637319</v>
      </c>
      <c r="G16" s="5">
        <v>639178</v>
      </c>
      <c r="H16" s="5">
        <v>657546</v>
      </c>
      <c r="I16" s="21">
        <v>654476</v>
      </c>
      <c r="J16" s="5">
        <v>1704341</v>
      </c>
      <c r="K16" s="5">
        <v>1691785</v>
      </c>
      <c r="L16" s="5">
        <v>1684049</v>
      </c>
      <c r="M16" s="21">
        <v>1672815</v>
      </c>
      <c r="N16" s="5">
        <v>1666168</v>
      </c>
      <c r="O16" s="5">
        <v>1655853</v>
      </c>
      <c r="P16" s="5">
        <v>1649196</v>
      </c>
      <c r="Q16" s="21">
        <v>1638663</v>
      </c>
      <c r="R16" s="5">
        <v>1630496</v>
      </c>
      <c r="S16" s="5">
        <v>1618975</v>
      </c>
      <c r="T16" s="5">
        <v>1608026</v>
      </c>
      <c r="U16" s="21">
        <v>1600061</v>
      </c>
      <c r="V16" s="5">
        <v>1587593</v>
      </c>
      <c r="W16" s="5">
        <v>1580827</v>
      </c>
      <c r="X16" s="5">
        <v>1572475</v>
      </c>
      <c r="Y16" s="21">
        <v>1682671</v>
      </c>
      <c r="Z16" s="5">
        <v>1671330</v>
      </c>
      <c r="AA16" s="5">
        <v>1704256</v>
      </c>
      <c r="AB16" s="5">
        <v>2520505</v>
      </c>
      <c r="AC16" s="21">
        <v>2508372</v>
      </c>
    </row>
    <row r="17" spans="1:29" x14ac:dyDescent="0.2">
      <c r="A17" s="1" t="s">
        <v>21</v>
      </c>
      <c r="B17" s="5">
        <v>46645</v>
      </c>
      <c r="C17" s="5">
        <v>51569</v>
      </c>
      <c r="D17" s="5">
        <v>42393</v>
      </c>
      <c r="E17" s="21">
        <v>42051</v>
      </c>
      <c r="F17" s="5">
        <v>41550</v>
      </c>
      <c r="G17" s="5">
        <v>39445</v>
      </c>
      <c r="H17" s="5">
        <v>40889</v>
      </c>
      <c r="I17" s="21">
        <v>19796</v>
      </c>
      <c r="J17" s="5">
        <v>0</v>
      </c>
      <c r="K17" s="5">
        <v>0</v>
      </c>
      <c r="L17" s="5">
        <v>0</v>
      </c>
      <c r="M17" s="21">
        <v>0</v>
      </c>
      <c r="N17" s="5">
        <v>0</v>
      </c>
      <c r="O17" s="5">
        <v>0</v>
      </c>
      <c r="P17" s="5">
        <v>0</v>
      </c>
      <c r="Q17" s="21">
        <v>0</v>
      </c>
      <c r="R17" s="5">
        <v>0</v>
      </c>
      <c r="S17" s="5">
        <v>0</v>
      </c>
      <c r="T17" s="5">
        <v>0</v>
      </c>
      <c r="U17" s="21">
        <v>0</v>
      </c>
      <c r="V17" s="5">
        <v>0</v>
      </c>
      <c r="W17" s="5">
        <v>0</v>
      </c>
      <c r="X17" s="5">
        <v>0</v>
      </c>
      <c r="Y17" s="21">
        <v>0</v>
      </c>
      <c r="Z17" s="5">
        <v>0</v>
      </c>
      <c r="AA17" s="5">
        <v>0</v>
      </c>
      <c r="AB17" s="5">
        <v>0</v>
      </c>
      <c r="AC17" s="21">
        <v>0</v>
      </c>
    </row>
    <row r="18" spans="1:29" x14ac:dyDescent="0.2">
      <c r="A18" s="1" t="s">
        <v>127</v>
      </c>
      <c r="B18" s="5">
        <v>0</v>
      </c>
      <c r="C18" s="5">
        <v>0</v>
      </c>
      <c r="D18" s="5">
        <v>0</v>
      </c>
      <c r="E18" s="21">
        <v>0</v>
      </c>
      <c r="F18" s="5">
        <v>0</v>
      </c>
      <c r="G18" s="5">
        <v>0</v>
      </c>
      <c r="H18" s="5">
        <v>0</v>
      </c>
      <c r="I18" s="21">
        <v>0</v>
      </c>
      <c r="J18" s="5">
        <v>19000</v>
      </c>
      <c r="K18" s="5">
        <v>19344</v>
      </c>
      <c r="L18" s="5">
        <v>19241</v>
      </c>
      <c r="M18" s="21">
        <v>17828</v>
      </c>
      <c r="N18" s="5">
        <v>17634</v>
      </c>
      <c r="O18" s="5">
        <v>17439</v>
      </c>
      <c r="P18" s="5">
        <v>17244</v>
      </c>
      <c r="Q18" s="21">
        <v>17049</v>
      </c>
      <c r="R18" s="5">
        <v>16854</v>
      </c>
      <c r="S18" s="5">
        <v>16660</v>
      </c>
      <c r="T18" s="5">
        <v>16465</v>
      </c>
      <c r="U18" s="21">
        <v>16270</v>
      </c>
      <c r="V18" s="5">
        <v>16075</v>
      </c>
      <c r="W18" s="5">
        <v>15880</v>
      </c>
      <c r="X18" s="5">
        <v>15685</v>
      </c>
      <c r="Y18" s="21">
        <v>15491</v>
      </c>
      <c r="Z18" s="5">
        <v>15296</v>
      </c>
      <c r="AA18" s="5">
        <v>15101</v>
      </c>
      <c r="AB18" s="5">
        <v>17906</v>
      </c>
      <c r="AC18" s="21">
        <v>17420</v>
      </c>
    </row>
    <row r="19" spans="1:29" x14ac:dyDescent="0.2">
      <c r="A19" s="1" t="s">
        <v>22</v>
      </c>
      <c r="B19" s="5">
        <v>8126</v>
      </c>
      <c r="C19" s="5">
        <v>9088</v>
      </c>
      <c r="D19" s="5">
        <v>8622</v>
      </c>
      <c r="E19" s="21">
        <v>7309</v>
      </c>
      <c r="F19" s="5">
        <v>7322</v>
      </c>
      <c r="G19" s="5">
        <v>7100</v>
      </c>
      <c r="H19" s="5">
        <v>8075</v>
      </c>
      <c r="I19" s="21">
        <v>8271</v>
      </c>
      <c r="J19" s="5">
        <v>12853</v>
      </c>
      <c r="K19" s="5">
        <v>20288</v>
      </c>
      <c r="L19" s="5">
        <v>23696</v>
      </c>
      <c r="M19" s="21">
        <v>21281</v>
      </c>
      <c r="N19" s="5">
        <v>31790</v>
      </c>
      <c r="O19" s="5">
        <v>33359</v>
      </c>
      <c r="P19" s="5">
        <v>35448</v>
      </c>
      <c r="Q19" s="21">
        <v>35290</v>
      </c>
      <c r="R19" s="5">
        <v>31896</v>
      </c>
      <c r="S19" s="5">
        <v>29928</v>
      </c>
      <c r="T19" s="5">
        <v>31236</v>
      </c>
      <c r="U19" s="21">
        <v>46717</v>
      </c>
      <c r="V19" s="5">
        <v>91847</v>
      </c>
      <c r="W19" s="5">
        <v>61715</v>
      </c>
      <c r="X19" s="5">
        <v>63747</v>
      </c>
      <c r="Y19" s="21">
        <v>57951</v>
      </c>
      <c r="Z19" s="5">
        <v>87095</v>
      </c>
      <c r="AA19" s="5">
        <v>126353</v>
      </c>
      <c r="AB19" s="5">
        <v>184310</v>
      </c>
      <c r="AC19" s="21">
        <v>179554</v>
      </c>
    </row>
    <row r="20" spans="1:29" ht="13.5" thickBot="1" x14ac:dyDescent="0.25">
      <c r="A20" s="35" t="s">
        <v>23</v>
      </c>
      <c r="B20" s="10">
        <f t="shared" ref="B20:L20" si="8">SUM(B13:B19)</f>
        <v>1001355</v>
      </c>
      <c r="C20" s="10">
        <f t="shared" si="8"/>
        <v>914145</v>
      </c>
      <c r="D20" s="10">
        <f t="shared" si="8"/>
        <v>933125</v>
      </c>
      <c r="E20" s="25">
        <f t="shared" si="8"/>
        <v>927681</v>
      </c>
      <c r="F20" s="10">
        <f t="shared" si="8"/>
        <v>932671</v>
      </c>
      <c r="G20" s="10">
        <f t="shared" si="8"/>
        <v>946774</v>
      </c>
      <c r="H20" s="10">
        <f t="shared" si="8"/>
        <v>970993</v>
      </c>
      <c r="I20" s="25">
        <f t="shared" si="8"/>
        <v>953079</v>
      </c>
      <c r="J20" s="10">
        <f t="shared" si="8"/>
        <v>2372353</v>
      </c>
      <c r="K20" s="10">
        <f t="shared" si="8"/>
        <v>2397149</v>
      </c>
      <c r="L20" s="10">
        <f t="shared" si="8"/>
        <v>2413071</v>
      </c>
      <c r="M20" s="25">
        <f t="shared" ref="M20:N20" si="9">SUM(M13:M19)</f>
        <v>2325852</v>
      </c>
      <c r="N20" s="10">
        <f t="shared" si="9"/>
        <v>2273214</v>
      </c>
      <c r="O20" s="10">
        <f t="shared" ref="O20:P20" si="10">SUM(O13:O19)</f>
        <v>2258941</v>
      </c>
      <c r="P20" s="10">
        <f t="shared" si="10"/>
        <v>2257054</v>
      </c>
      <c r="Q20" s="25">
        <f t="shared" ref="Q20:R20" si="11">SUM(Q13:Q19)</f>
        <v>2235059</v>
      </c>
      <c r="R20" s="10">
        <f t="shared" si="11"/>
        <v>2212882</v>
      </c>
      <c r="S20" s="10">
        <f t="shared" ref="S20:T20" si="12">SUM(S13:S19)</f>
        <v>2205170</v>
      </c>
      <c r="T20" s="10">
        <f t="shared" si="12"/>
        <v>2297913</v>
      </c>
      <c r="U20" s="25">
        <f t="shared" ref="U20:V20" si="13">SUM(U13:U19)</f>
        <v>2381065</v>
      </c>
      <c r="V20" s="10">
        <f t="shared" si="13"/>
        <v>2563629</v>
      </c>
      <c r="W20" s="10">
        <f t="shared" ref="W20:X20" si="14">SUM(W13:W19)</f>
        <v>2682798</v>
      </c>
      <c r="X20" s="10">
        <f t="shared" si="14"/>
        <v>2717867</v>
      </c>
      <c r="Y20" s="25">
        <f t="shared" ref="Y20:Z20" si="15">SUM(Y13:Y19)</f>
        <v>2535215</v>
      </c>
      <c r="Z20" s="10">
        <f t="shared" si="15"/>
        <v>2733616</v>
      </c>
      <c r="AA20" s="10">
        <f t="shared" ref="AA20:AC20" si="16">SUM(AA13:AA19)</f>
        <v>2871919</v>
      </c>
      <c r="AB20" s="10">
        <f t="shared" si="16"/>
        <v>3724788</v>
      </c>
      <c r="AC20" s="25">
        <f t="shared" si="16"/>
        <v>3550555</v>
      </c>
    </row>
    <row r="21" spans="1:29" ht="13.5" thickTop="1" x14ac:dyDescent="0.2">
      <c r="A21" s="35"/>
      <c r="B21" s="11"/>
      <c r="C21" s="11"/>
      <c r="D21" s="11"/>
      <c r="E21" s="26"/>
      <c r="F21" s="11"/>
      <c r="G21" s="11"/>
      <c r="H21" s="11"/>
      <c r="I21" s="26"/>
      <c r="J21" s="11"/>
      <c r="K21" s="11"/>
      <c r="L21" s="11"/>
      <c r="M21" s="26"/>
      <c r="N21" s="11"/>
      <c r="O21" s="11"/>
      <c r="P21" s="11"/>
      <c r="Q21" s="26"/>
      <c r="R21" s="11"/>
      <c r="S21" s="11"/>
      <c r="T21" s="11"/>
      <c r="U21" s="26"/>
      <c r="V21" s="11"/>
      <c r="W21" s="11"/>
      <c r="X21" s="11"/>
      <c r="Y21" s="26"/>
      <c r="Z21" s="11"/>
      <c r="AA21" s="11"/>
      <c r="AB21" s="11"/>
      <c r="AC21" s="26"/>
    </row>
    <row r="22" spans="1:29" x14ac:dyDescent="0.2">
      <c r="A22" s="32" t="s">
        <v>24</v>
      </c>
      <c r="B22" s="3"/>
      <c r="C22" s="3"/>
      <c r="D22" s="3"/>
      <c r="E22" s="20"/>
      <c r="F22" s="3"/>
      <c r="G22" s="3"/>
      <c r="H22" s="3"/>
      <c r="I22" s="20"/>
      <c r="J22" s="3"/>
      <c r="K22" s="3"/>
      <c r="L22" s="3"/>
      <c r="M22" s="20"/>
      <c r="N22" s="3"/>
      <c r="O22" s="3"/>
      <c r="P22" s="3"/>
      <c r="Q22" s="20"/>
      <c r="R22" s="3"/>
      <c r="S22" s="3"/>
      <c r="T22" s="3"/>
      <c r="U22" s="20"/>
      <c r="V22" s="3"/>
      <c r="W22" s="3"/>
      <c r="X22" s="3"/>
      <c r="Y22" s="20"/>
      <c r="Z22" s="3"/>
      <c r="AA22" s="3"/>
      <c r="AB22" s="3"/>
      <c r="AC22" s="20"/>
    </row>
    <row r="23" spans="1:29" x14ac:dyDescent="0.2">
      <c r="A23" s="1" t="s">
        <v>25</v>
      </c>
      <c r="B23" s="3"/>
      <c r="C23" s="3"/>
      <c r="D23" s="3"/>
      <c r="E23" s="20"/>
      <c r="F23" s="3"/>
      <c r="G23" s="3"/>
      <c r="H23" s="3"/>
      <c r="I23" s="20"/>
      <c r="J23" s="3"/>
      <c r="K23" s="3"/>
      <c r="L23" s="3"/>
      <c r="M23" s="20"/>
      <c r="N23" s="3"/>
      <c r="O23" s="3"/>
      <c r="P23" s="3"/>
      <c r="Q23" s="20"/>
      <c r="R23" s="3"/>
      <c r="S23" s="3"/>
      <c r="T23" s="3"/>
      <c r="U23" s="20"/>
      <c r="V23" s="3"/>
      <c r="W23" s="3"/>
      <c r="X23" s="3"/>
      <c r="Y23" s="20"/>
      <c r="Z23" s="3"/>
      <c r="AA23" s="3"/>
      <c r="AB23" s="3"/>
      <c r="AC23" s="20"/>
    </row>
    <row r="24" spans="1:29" x14ac:dyDescent="0.2">
      <c r="A24" s="4" t="s">
        <v>26</v>
      </c>
      <c r="B24" s="11">
        <v>44580</v>
      </c>
      <c r="C24" s="11">
        <v>48290</v>
      </c>
      <c r="D24" s="11">
        <v>52838</v>
      </c>
      <c r="E24" s="26">
        <v>43710</v>
      </c>
      <c r="F24" s="11">
        <v>44209</v>
      </c>
      <c r="G24" s="11">
        <v>53130</v>
      </c>
      <c r="H24" s="11">
        <v>60741</v>
      </c>
      <c r="I24" s="26">
        <v>55201</v>
      </c>
      <c r="J24" s="11">
        <v>75241</v>
      </c>
      <c r="K24" s="11">
        <v>71852</v>
      </c>
      <c r="L24" s="11">
        <v>80258</v>
      </c>
      <c r="M24" s="26">
        <v>60993</v>
      </c>
      <c r="N24" s="11">
        <v>72565</v>
      </c>
      <c r="O24" s="11">
        <v>78492</v>
      </c>
      <c r="P24" s="11">
        <v>78274</v>
      </c>
      <c r="Q24" s="26">
        <v>60577</v>
      </c>
      <c r="R24" s="11">
        <v>61395</v>
      </c>
      <c r="S24" s="11">
        <v>75937</v>
      </c>
      <c r="T24" s="11">
        <v>108425</v>
      </c>
      <c r="U24" s="26">
        <v>93279</v>
      </c>
      <c r="V24" s="11">
        <v>114849</v>
      </c>
      <c r="W24" s="11">
        <v>97462</v>
      </c>
      <c r="X24" s="11">
        <v>87819</v>
      </c>
      <c r="Y24" s="26">
        <v>78209</v>
      </c>
      <c r="Z24" s="11">
        <v>101589</v>
      </c>
      <c r="AA24" s="11">
        <v>110184</v>
      </c>
      <c r="AB24" s="11">
        <v>111607</v>
      </c>
      <c r="AC24" s="26">
        <v>94861</v>
      </c>
    </row>
    <row r="25" spans="1:29" x14ac:dyDescent="0.2">
      <c r="A25" s="4" t="s">
        <v>27</v>
      </c>
      <c r="B25" s="5">
        <v>0</v>
      </c>
      <c r="C25" s="5">
        <v>5082</v>
      </c>
      <c r="D25" s="5">
        <v>5053</v>
      </c>
      <c r="E25" s="21">
        <v>11032</v>
      </c>
      <c r="F25" s="5">
        <v>25408</v>
      </c>
      <c r="G25" s="5">
        <v>20349</v>
      </c>
      <c r="H25" s="5">
        <v>20304</v>
      </c>
      <c r="I25" s="21">
        <v>14263</v>
      </c>
      <c r="J25" s="5">
        <v>0</v>
      </c>
      <c r="K25" s="5">
        <v>0</v>
      </c>
      <c r="L25" s="5">
        <v>0</v>
      </c>
      <c r="M25" s="21">
        <v>39973</v>
      </c>
      <c r="N25" s="5">
        <v>39981</v>
      </c>
      <c r="O25" s="5">
        <v>39988</v>
      </c>
      <c r="P25" s="5">
        <v>39995</v>
      </c>
      <c r="Q25" s="21">
        <v>45974</v>
      </c>
      <c r="R25" s="5">
        <v>45981</v>
      </c>
      <c r="S25" s="5">
        <v>45988</v>
      </c>
      <c r="T25" s="5">
        <v>45995</v>
      </c>
      <c r="U25" s="21">
        <v>39981</v>
      </c>
      <c r="V25" s="5">
        <v>42985</v>
      </c>
      <c r="W25" s="5">
        <v>42991</v>
      </c>
      <c r="X25" s="5">
        <v>42996</v>
      </c>
      <c r="Y25" s="21">
        <v>42977</v>
      </c>
      <c r="Z25" s="5">
        <v>39983</v>
      </c>
      <c r="AA25" s="5">
        <v>39989</v>
      </c>
      <c r="AB25" s="5">
        <v>39996</v>
      </c>
      <c r="AC25" s="21">
        <v>39979</v>
      </c>
    </row>
    <row r="26" spans="1:29" x14ac:dyDescent="0.2">
      <c r="A26" s="33" t="s">
        <v>28</v>
      </c>
      <c r="B26" s="5">
        <v>5973</v>
      </c>
      <c r="C26" s="5">
        <v>5973</v>
      </c>
      <c r="D26" s="5">
        <v>5973</v>
      </c>
      <c r="E26" s="21">
        <v>5839</v>
      </c>
      <c r="F26" s="5">
        <v>5839</v>
      </c>
      <c r="G26" s="5">
        <v>5839</v>
      </c>
      <c r="H26" s="5">
        <v>5839</v>
      </c>
      <c r="I26" s="21">
        <v>5334</v>
      </c>
      <c r="J26" s="5">
        <v>6057</v>
      </c>
      <c r="K26" s="5">
        <v>6088</v>
      </c>
      <c r="L26" s="5">
        <v>6088</v>
      </c>
      <c r="M26" s="21">
        <v>5997</v>
      </c>
      <c r="N26" s="5">
        <v>5997</v>
      </c>
      <c r="O26" s="5">
        <v>5997</v>
      </c>
      <c r="P26" s="5">
        <v>5997</v>
      </c>
      <c r="Q26" s="21">
        <v>6701</v>
      </c>
      <c r="R26" s="5">
        <v>6701</v>
      </c>
      <c r="S26" s="5">
        <v>6701</v>
      </c>
      <c r="T26" s="5">
        <v>6701</v>
      </c>
      <c r="U26" s="21">
        <v>6574</v>
      </c>
      <c r="V26" s="5">
        <v>6574</v>
      </c>
      <c r="W26" s="5">
        <v>6574</v>
      </c>
      <c r="X26" s="5">
        <v>6574</v>
      </c>
      <c r="Y26" s="21">
        <v>4993</v>
      </c>
      <c r="Z26" s="5">
        <v>4993</v>
      </c>
      <c r="AA26" s="5">
        <v>4993</v>
      </c>
      <c r="AB26" s="5">
        <v>4993</v>
      </c>
      <c r="AC26" s="21">
        <v>4926</v>
      </c>
    </row>
    <row r="27" spans="1:29" x14ac:dyDescent="0.2">
      <c r="A27" s="33" t="s">
        <v>111</v>
      </c>
      <c r="B27" s="5">
        <v>0</v>
      </c>
      <c r="C27" s="5">
        <v>0</v>
      </c>
      <c r="D27" s="5">
        <v>0</v>
      </c>
      <c r="E27" s="21">
        <v>0</v>
      </c>
      <c r="F27" s="5">
        <v>0</v>
      </c>
      <c r="G27" s="5">
        <v>0</v>
      </c>
      <c r="H27" s="5">
        <v>0</v>
      </c>
      <c r="I27" s="21">
        <v>0</v>
      </c>
      <c r="J27" s="5">
        <v>0</v>
      </c>
      <c r="K27" s="5">
        <v>0</v>
      </c>
      <c r="L27" s="5">
        <v>0</v>
      </c>
      <c r="M27" s="21">
        <v>29321</v>
      </c>
      <c r="N27" s="5">
        <v>0</v>
      </c>
      <c r="O27" s="5">
        <v>0</v>
      </c>
      <c r="P27" s="5">
        <v>0</v>
      </c>
      <c r="Q27" s="21">
        <v>0</v>
      </c>
      <c r="R27" s="5">
        <v>0</v>
      </c>
      <c r="S27" s="5">
        <v>0</v>
      </c>
      <c r="T27" s="5">
        <v>0</v>
      </c>
      <c r="U27" s="21">
        <v>0</v>
      </c>
      <c r="V27" s="5">
        <v>0</v>
      </c>
      <c r="W27" s="5">
        <v>0</v>
      </c>
      <c r="X27" s="5">
        <v>0</v>
      </c>
      <c r="Y27" s="21">
        <v>0</v>
      </c>
      <c r="Z27" s="5">
        <v>0</v>
      </c>
      <c r="AA27" s="5">
        <v>0</v>
      </c>
      <c r="AB27" s="5">
        <v>0</v>
      </c>
      <c r="AC27" s="21">
        <v>0</v>
      </c>
    </row>
    <row r="28" spans="1:29" ht="14.25" x14ac:dyDescent="0.2">
      <c r="A28" s="4" t="s">
        <v>160</v>
      </c>
      <c r="B28" s="85">
        <v>0</v>
      </c>
      <c r="C28" s="85">
        <v>0</v>
      </c>
      <c r="D28" s="85">
        <v>0</v>
      </c>
      <c r="E28" s="86">
        <v>0</v>
      </c>
      <c r="F28" s="85">
        <v>0</v>
      </c>
      <c r="G28" s="85">
        <v>0</v>
      </c>
      <c r="H28" s="85">
        <v>0</v>
      </c>
      <c r="I28" s="86">
        <v>0</v>
      </c>
      <c r="J28" s="85">
        <v>0</v>
      </c>
      <c r="K28" s="85">
        <v>0</v>
      </c>
      <c r="L28" s="85">
        <v>222000</v>
      </c>
      <c r="M28" s="86">
        <v>0</v>
      </c>
      <c r="N28" s="85">
        <v>0</v>
      </c>
      <c r="O28" s="85">
        <v>0</v>
      </c>
      <c r="P28" s="85">
        <v>0</v>
      </c>
      <c r="Q28" s="86">
        <v>0</v>
      </c>
      <c r="R28" s="85">
        <v>0</v>
      </c>
      <c r="S28" s="85">
        <v>0</v>
      </c>
      <c r="T28" s="85">
        <v>0</v>
      </c>
      <c r="U28" s="86">
        <v>0</v>
      </c>
      <c r="V28" s="85">
        <v>0</v>
      </c>
      <c r="W28" s="85">
        <v>0</v>
      </c>
      <c r="X28" s="85">
        <v>0</v>
      </c>
      <c r="Y28" s="86">
        <v>0</v>
      </c>
      <c r="Z28" s="85">
        <v>0</v>
      </c>
      <c r="AA28" s="85">
        <v>0</v>
      </c>
      <c r="AB28" s="85">
        <v>0</v>
      </c>
      <c r="AC28" s="86">
        <v>0</v>
      </c>
    </row>
    <row r="29" spans="1:29" x14ac:dyDescent="0.2">
      <c r="A29" s="34" t="s">
        <v>29</v>
      </c>
      <c r="B29" s="9">
        <f t="shared" ref="B29:R29" si="17">SUM(B24:B28)</f>
        <v>50553</v>
      </c>
      <c r="C29" s="9">
        <f t="shared" si="17"/>
        <v>59345</v>
      </c>
      <c r="D29" s="9">
        <f t="shared" si="17"/>
        <v>63864</v>
      </c>
      <c r="E29" s="24">
        <f t="shared" si="17"/>
        <v>60581</v>
      </c>
      <c r="F29" s="9">
        <f t="shared" si="17"/>
        <v>75456</v>
      </c>
      <c r="G29" s="9">
        <f t="shared" si="17"/>
        <v>79318</v>
      </c>
      <c r="H29" s="9">
        <f t="shared" si="17"/>
        <v>86884</v>
      </c>
      <c r="I29" s="24">
        <f t="shared" si="17"/>
        <v>74798</v>
      </c>
      <c r="J29" s="9">
        <f t="shared" si="17"/>
        <v>81298</v>
      </c>
      <c r="K29" s="9">
        <f t="shared" si="17"/>
        <v>77940</v>
      </c>
      <c r="L29" s="9">
        <f t="shared" si="17"/>
        <v>308346</v>
      </c>
      <c r="M29" s="24">
        <f t="shared" si="17"/>
        <v>136284</v>
      </c>
      <c r="N29" s="9">
        <f t="shared" si="17"/>
        <v>118543</v>
      </c>
      <c r="O29" s="9">
        <f t="shared" si="17"/>
        <v>124477</v>
      </c>
      <c r="P29" s="9">
        <f t="shared" si="17"/>
        <v>124266</v>
      </c>
      <c r="Q29" s="24">
        <f t="shared" si="17"/>
        <v>113252</v>
      </c>
      <c r="R29" s="9">
        <f t="shared" si="17"/>
        <v>114077</v>
      </c>
      <c r="S29" s="9">
        <f>SUM(S24:S28)</f>
        <v>128626</v>
      </c>
      <c r="T29" s="9">
        <f t="shared" ref="T29:V29" si="18">SUM(T24:T28)</f>
        <v>161121</v>
      </c>
      <c r="U29" s="24">
        <f t="shared" si="18"/>
        <v>139834</v>
      </c>
      <c r="V29" s="9">
        <f t="shared" si="18"/>
        <v>164408</v>
      </c>
      <c r="W29" s="9">
        <f t="shared" ref="W29:X29" si="19">SUM(W24:W28)</f>
        <v>147027</v>
      </c>
      <c r="X29" s="9">
        <f t="shared" si="19"/>
        <v>137389</v>
      </c>
      <c r="Y29" s="24">
        <f t="shared" ref="Y29:Z29" si="20">SUM(Y24:Y28)</f>
        <v>126179</v>
      </c>
      <c r="Z29" s="9">
        <f t="shared" si="20"/>
        <v>146565</v>
      </c>
      <c r="AA29" s="9">
        <f t="shared" ref="AA29:AC29" si="21">SUM(AA24:AA28)</f>
        <v>155166</v>
      </c>
      <c r="AB29" s="9">
        <f t="shared" si="21"/>
        <v>156596</v>
      </c>
      <c r="AC29" s="24">
        <f t="shared" si="21"/>
        <v>139766</v>
      </c>
    </row>
    <row r="30" spans="1:29" x14ac:dyDescent="0.2">
      <c r="A30" s="1" t="s">
        <v>30</v>
      </c>
      <c r="B30" s="5">
        <v>627709</v>
      </c>
      <c r="C30" s="5">
        <v>581205</v>
      </c>
      <c r="D30" s="5">
        <v>580317</v>
      </c>
      <c r="E30" s="21">
        <v>572956</v>
      </c>
      <c r="F30" s="5">
        <v>558510</v>
      </c>
      <c r="G30" s="5">
        <v>558853</v>
      </c>
      <c r="H30" s="5">
        <v>559019</v>
      </c>
      <c r="I30" s="21">
        <v>559056</v>
      </c>
      <c r="J30" s="5">
        <v>782974</v>
      </c>
      <c r="K30" s="5">
        <v>783436</v>
      </c>
      <c r="L30" s="5">
        <v>783899</v>
      </c>
      <c r="M30" s="21">
        <v>715391</v>
      </c>
      <c r="N30" s="5">
        <v>715837</v>
      </c>
      <c r="O30" s="5">
        <v>716094</v>
      </c>
      <c r="P30" s="5">
        <v>716350</v>
      </c>
      <c r="Q30" s="21">
        <v>710495</v>
      </c>
      <c r="R30" s="5">
        <v>710748</v>
      </c>
      <c r="S30" s="5">
        <v>711001</v>
      </c>
      <c r="T30" s="5">
        <v>711254</v>
      </c>
      <c r="U30" s="21">
        <v>717366</v>
      </c>
      <c r="V30" s="5">
        <v>714619</v>
      </c>
      <c r="W30" s="5">
        <v>714870</v>
      </c>
      <c r="X30" s="5">
        <v>715122</v>
      </c>
      <c r="Y30" s="21">
        <v>715279</v>
      </c>
      <c r="Z30" s="5">
        <v>715499</v>
      </c>
      <c r="AA30" s="5">
        <v>715748</v>
      </c>
      <c r="AB30" s="5">
        <v>992507</v>
      </c>
      <c r="AC30" s="21">
        <v>992701</v>
      </c>
    </row>
    <row r="31" spans="1:29" x14ac:dyDescent="0.2">
      <c r="A31" s="1" t="s">
        <v>31</v>
      </c>
      <c r="B31" s="5">
        <v>118999</v>
      </c>
      <c r="C31" s="5">
        <v>119590</v>
      </c>
      <c r="D31" s="5">
        <v>118679</v>
      </c>
      <c r="E31" s="21">
        <v>123284</v>
      </c>
      <c r="F31" s="5">
        <v>123939</v>
      </c>
      <c r="G31" s="5">
        <v>123745</v>
      </c>
      <c r="H31" s="5">
        <v>118505</v>
      </c>
      <c r="I31" s="21">
        <v>103524</v>
      </c>
      <c r="J31" s="5">
        <v>131959</v>
      </c>
      <c r="K31" s="5">
        <v>132677</v>
      </c>
      <c r="L31" s="5">
        <v>89035</v>
      </c>
      <c r="M31" s="21">
        <v>110659</v>
      </c>
      <c r="N31" s="5">
        <v>110476</v>
      </c>
      <c r="O31" s="5">
        <v>110525</v>
      </c>
      <c r="P31" s="5">
        <v>110548</v>
      </c>
      <c r="Q31" s="21">
        <v>115463</v>
      </c>
      <c r="R31" s="5">
        <v>141921</v>
      </c>
      <c r="S31" s="5">
        <v>142708</v>
      </c>
      <c r="T31" s="5">
        <v>139022</v>
      </c>
      <c r="U31" s="21">
        <v>128807</v>
      </c>
      <c r="V31" s="5">
        <v>129025</v>
      </c>
      <c r="W31" s="5">
        <v>128251</v>
      </c>
      <c r="X31" s="5">
        <v>126154</v>
      </c>
      <c r="Y31" s="21">
        <v>83674</v>
      </c>
      <c r="Z31" s="5">
        <v>90359</v>
      </c>
      <c r="AA31" s="5">
        <v>91703</v>
      </c>
      <c r="AB31" s="5">
        <v>92990</v>
      </c>
      <c r="AC31" s="21">
        <v>77396</v>
      </c>
    </row>
    <row r="32" spans="1:29" x14ac:dyDescent="0.2">
      <c r="A32" s="1" t="s">
        <v>95</v>
      </c>
      <c r="B32" s="21">
        <v>0</v>
      </c>
      <c r="C32" s="21">
        <v>0</v>
      </c>
      <c r="D32" s="21">
        <v>0</v>
      </c>
      <c r="E32" s="21">
        <v>0</v>
      </c>
      <c r="F32" s="21">
        <v>0</v>
      </c>
      <c r="G32" s="21">
        <v>0</v>
      </c>
      <c r="H32" s="21">
        <v>0</v>
      </c>
      <c r="I32" s="21">
        <v>0</v>
      </c>
      <c r="J32" s="5">
        <v>22927</v>
      </c>
      <c r="K32" s="5">
        <v>27040</v>
      </c>
      <c r="L32" s="5">
        <v>38575</v>
      </c>
      <c r="M32" s="21">
        <v>32009</v>
      </c>
      <c r="N32" s="5">
        <v>15956</v>
      </c>
      <c r="O32" s="5">
        <v>14623</v>
      </c>
      <c r="P32" s="5">
        <v>14913</v>
      </c>
      <c r="Q32" s="21">
        <v>20165</v>
      </c>
      <c r="R32" s="5">
        <v>11445</v>
      </c>
      <c r="S32" s="5">
        <v>10942</v>
      </c>
      <c r="T32" s="5">
        <v>12202</v>
      </c>
      <c r="U32" s="21">
        <v>17740</v>
      </c>
      <c r="V32" s="5">
        <v>24298</v>
      </c>
      <c r="W32" s="5">
        <v>22191</v>
      </c>
      <c r="X32" s="5">
        <v>26247</v>
      </c>
      <c r="Y32" s="21">
        <v>34874</v>
      </c>
      <c r="Z32" s="5">
        <v>37642</v>
      </c>
      <c r="AA32" s="5">
        <v>40725</v>
      </c>
      <c r="AB32" s="5">
        <v>38469</v>
      </c>
      <c r="AC32" s="21">
        <v>41790</v>
      </c>
    </row>
    <row r="33" spans="1:29" x14ac:dyDescent="0.2">
      <c r="A33" s="1" t="s">
        <v>32</v>
      </c>
      <c r="B33" s="6">
        <v>13618</v>
      </c>
      <c r="C33" s="6">
        <v>13462</v>
      </c>
      <c r="D33" s="6">
        <v>14502</v>
      </c>
      <c r="E33" s="22">
        <v>14586</v>
      </c>
      <c r="F33" s="6">
        <v>15504</v>
      </c>
      <c r="G33" s="6">
        <v>14529</v>
      </c>
      <c r="H33" s="6">
        <v>15395</v>
      </c>
      <c r="I33" s="22">
        <v>15159</v>
      </c>
      <c r="J33" s="6">
        <v>17753</v>
      </c>
      <c r="K33" s="6">
        <v>15130</v>
      </c>
      <c r="L33" s="6">
        <v>14147</v>
      </c>
      <c r="M33" s="22">
        <v>16730</v>
      </c>
      <c r="N33" s="6">
        <v>34016</v>
      </c>
      <c r="O33" s="6">
        <v>47172</v>
      </c>
      <c r="P33" s="6">
        <v>55248</v>
      </c>
      <c r="Q33" s="22">
        <v>48853</v>
      </c>
      <c r="R33" s="6">
        <v>85077</v>
      </c>
      <c r="S33" s="6">
        <v>86417</v>
      </c>
      <c r="T33" s="6">
        <v>78237</v>
      </c>
      <c r="U33" s="22">
        <v>72365</v>
      </c>
      <c r="V33" s="6">
        <v>53730</v>
      </c>
      <c r="W33" s="6">
        <v>58670</v>
      </c>
      <c r="X33" s="6">
        <v>52849</v>
      </c>
      <c r="Y33" s="22">
        <v>49076</v>
      </c>
      <c r="Z33" s="6">
        <v>31353</v>
      </c>
      <c r="AA33" s="6">
        <v>25026</v>
      </c>
      <c r="AB33" s="6">
        <v>38807</v>
      </c>
      <c r="AC33" s="22">
        <v>35749</v>
      </c>
    </row>
    <row r="34" spans="1:29" x14ac:dyDescent="0.2">
      <c r="A34" s="34" t="s">
        <v>33</v>
      </c>
      <c r="B34" s="8">
        <f t="shared" ref="B34:L34" si="22">SUM(B29:B33)</f>
        <v>810879</v>
      </c>
      <c r="C34" s="8">
        <f t="shared" si="22"/>
        <v>773602</v>
      </c>
      <c r="D34" s="8">
        <f t="shared" si="22"/>
        <v>777362</v>
      </c>
      <c r="E34" s="23">
        <f t="shared" si="22"/>
        <v>771407</v>
      </c>
      <c r="F34" s="8">
        <f t="shared" si="22"/>
        <v>773409</v>
      </c>
      <c r="G34" s="8">
        <f t="shared" si="22"/>
        <v>776445</v>
      </c>
      <c r="H34" s="8">
        <f t="shared" si="22"/>
        <v>779803</v>
      </c>
      <c r="I34" s="23">
        <f t="shared" si="22"/>
        <v>752537</v>
      </c>
      <c r="J34" s="8">
        <f t="shared" si="22"/>
        <v>1036911</v>
      </c>
      <c r="K34" s="8">
        <f t="shared" si="22"/>
        <v>1036223</v>
      </c>
      <c r="L34" s="8">
        <f t="shared" si="22"/>
        <v>1234002</v>
      </c>
      <c r="M34" s="23">
        <f t="shared" ref="M34:N34" si="23">SUM(M29:M33)</f>
        <v>1011073</v>
      </c>
      <c r="N34" s="8">
        <f t="shared" si="23"/>
        <v>994828</v>
      </c>
      <c r="O34" s="8">
        <f t="shared" ref="O34:P34" si="24">SUM(O29:O33)</f>
        <v>1012891</v>
      </c>
      <c r="P34" s="8">
        <f t="shared" si="24"/>
        <v>1021325</v>
      </c>
      <c r="Q34" s="23">
        <f t="shared" ref="Q34:R34" si="25">SUM(Q29:Q33)</f>
        <v>1008228</v>
      </c>
      <c r="R34" s="8">
        <f t="shared" si="25"/>
        <v>1063268</v>
      </c>
      <c r="S34" s="8">
        <f t="shared" ref="S34:T34" si="26">SUM(S29:S33)</f>
        <v>1079694</v>
      </c>
      <c r="T34" s="8">
        <f t="shared" si="26"/>
        <v>1101836</v>
      </c>
      <c r="U34" s="23">
        <f t="shared" ref="U34:V34" si="27">SUM(U29:U33)</f>
        <v>1076112</v>
      </c>
      <c r="V34" s="8">
        <f t="shared" si="27"/>
        <v>1086080</v>
      </c>
      <c r="W34" s="8">
        <f t="shared" ref="W34:X34" si="28">SUM(W29:W33)</f>
        <v>1071009</v>
      </c>
      <c r="X34" s="8">
        <f t="shared" si="28"/>
        <v>1057761</v>
      </c>
      <c r="Y34" s="23">
        <f t="shared" ref="Y34:Z34" si="29">SUM(Y29:Y33)</f>
        <v>1009082</v>
      </c>
      <c r="Z34" s="8">
        <f t="shared" si="29"/>
        <v>1021418</v>
      </c>
      <c r="AA34" s="8">
        <f t="shared" ref="AA34:AB34" si="30">SUM(AA29:AA33)</f>
        <v>1028368</v>
      </c>
      <c r="AB34" s="8">
        <f t="shared" si="30"/>
        <v>1319369</v>
      </c>
      <c r="AC34" s="23">
        <f t="shared" ref="AC34" si="31">SUM(AC29:AC33)</f>
        <v>1287402</v>
      </c>
    </row>
    <row r="35" spans="1:29" x14ac:dyDescent="0.2">
      <c r="A35" s="1" t="s">
        <v>34</v>
      </c>
      <c r="B35" s="5"/>
      <c r="C35" s="5"/>
      <c r="D35" s="5"/>
      <c r="E35" s="5"/>
      <c r="F35" s="5"/>
      <c r="G35" s="5"/>
      <c r="H35" s="5"/>
      <c r="I35" s="5"/>
      <c r="J35" s="5"/>
      <c r="K35" s="5"/>
      <c r="L35" s="5"/>
      <c r="M35" s="5"/>
      <c r="N35" s="5"/>
      <c r="O35" s="5"/>
      <c r="P35" s="5"/>
      <c r="Q35" s="21"/>
      <c r="R35" s="5"/>
      <c r="S35" s="5"/>
      <c r="T35" s="5"/>
      <c r="U35" s="21"/>
      <c r="V35" s="5"/>
      <c r="W35" s="5"/>
      <c r="X35" s="5"/>
      <c r="Y35" s="21"/>
      <c r="Z35" s="5"/>
      <c r="AA35" s="5"/>
      <c r="AB35" s="5"/>
      <c r="AC35" s="5"/>
    </row>
    <row r="36" spans="1:29" x14ac:dyDescent="0.2">
      <c r="A36" s="1" t="s">
        <v>35</v>
      </c>
      <c r="B36" s="3"/>
      <c r="C36" s="3"/>
      <c r="D36" s="3"/>
      <c r="E36" s="20"/>
      <c r="F36" s="3"/>
      <c r="G36" s="3"/>
      <c r="H36" s="3"/>
      <c r="I36" s="20"/>
      <c r="J36" s="3"/>
      <c r="K36" s="3"/>
      <c r="L36" s="3"/>
      <c r="M36" s="20"/>
      <c r="N36" s="3"/>
      <c r="O36" s="3"/>
      <c r="P36" s="3"/>
      <c r="Q36" s="20"/>
      <c r="R36" s="3"/>
      <c r="S36" s="3"/>
      <c r="T36" s="3"/>
      <c r="U36" s="20"/>
      <c r="V36" s="3"/>
      <c r="W36" s="3"/>
      <c r="X36" s="3"/>
      <c r="Y36" s="20"/>
      <c r="Z36" s="3"/>
      <c r="AA36" s="3"/>
      <c r="AB36" s="3"/>
      <c r="AC36" s="20"/>
    </row>
    <row r="37" spans="1:29" x14ac:dyDescent="0.2">
      <c r="A37" s="33" t="s">
        <v>93</v>
      </c>
      <c r="B37" s="5">
        <v>40688</v>
      </c>
      <c r="C37" s="5">
        <v>40519</v>
      </c>
      <c r="D37" s="5">
        <v>40519</v>
      </c>
      <c r="E37" s="21">
        <v>40519</v>
      </c>
      <c r="F37" s="5">
        <v>40608</v>
      </c>
      <c r="G37" s="5">
        <v>40610</v>
      </c>
      <c r="H37" s="5">
        <v>40611</v>
      </c>
      <c r="I37" s="21">
        <v>40612</v>
      </c>
      <c r="J37" s="5">
        <v>62755</v>
      </c>
      <c r="K37" s="5">
        <v>62754</v>
      </c>
      <c r="L37" s="5">
        <v>62755</v>
      </c>
      <c r="M37" s="21">
        <v>67570</v>
      </c>
      <c r="N37" s="5">
        <v>67588</v>
      </c>
      <c r="O37" s="5">
        <v>67186</v>
      </c>
      <c r="P37" s="5">
        <v>67221</v>
      </c>
      <c r="Q37" s="21">
        <v>67221</v>
      </c>
      <c r="R37" s="5">
        <v>66951</v>
      </c>
      <c r="S37" s="5">
        <v>66871</v>
      </c>
      <c r="T37" s="5">
        <v>66872</v>
      </c>
      <c r="U37" s="21">
        <v>66876</v>
      </c>
      <c r="V37" s="5">
        <v>67042</v>
      </c>
      <c r="W37" s="5">
        <v>67045</v>
      </c>
      <c r="X37" s="5">
        <v>67100</v>
      </c>
      <c r="Y37" s="21">
        <v>69064</v>
      </c>
      <c r="Z37" s="5">
        <v>69372</v>
      </c>
      <c r="AA37" s="5">
        <v>69280</v>
      </c>
      <c r="AB37" s="5">
        <v>80777</v>
      </c>
      <c r="AC37" s="21">
        <v>79683</v>
      </c>
    </row>
    <row r="38" spans="1:29" x14ac:dyDescent="0.2">
      <c r="A38" s="4" t="s">
        <v>36</v>
      </c>
      <c r="B38" s="5">
        <v>351188</v>
      </c>
      <c r="C38" s="5">
        <v>352497</v>
      </c>
      <c r="D38" s="5">
        <v>353702</v>
      </c>
      <c r="E38" s="21">
        <v>355274</v>
      </c>
      <c r="F38" s="5">
        <v>355174</v>
      </c>
      <c r="G38" s="5">
        <v>356453</v>
      </c>
      <c r="H38" s="5">
        <v>357736</v>
      </c>
      <c r="I38" s="21">
        <v>359144</v>
      </c>
      <c r="J38" s="5">
        <v>1480402</v>
      </c>
      <c r="K38" s="5">
        <v>1482048</v>
      </c>
      <c r="L38" s="5">
        <v>1483750</v>
      </c>
      <c r="M38" s="21">
        <v>1659031</v>
      </c>
      <c r="N38" s="5">
        <v>1660450</v>
      </c>
      <c r="O38" s="5">
        <v>1662381</v>
      </c>
      <c r="P38" s="5">
        <v>1664333</v>
      </c>
      <c r="Q38" s="21">
        <v>1666299</v>
      </c>
      <c r="R38" s="5">
        <v>1668122</v>
      </c>
      <c r="S38" s="5">
        <v>1670184</v>
      </c>
      <c r="T38" s="5">
        <v>1672351</v>
      </c>
      <c r="U38" s="21">
        <v>1674576</v>
      </c>
      <c r="V38" s="5">
        <v>1676421</v>
      </c>
      <c r="W38" s="5">
        <v>1678661</v>
      </c>
      <c r="X38" s="5">
        <v>1679332</v>
      </c>
      <c r="Y38" s="21">
        <v>1781217</v>
      </c>
      <c r="Z38" s="5">
        <v>1782940</v>
      </c>
      <c r="AA38" s="5">
        <v>1785383</v>
      </c>
      <c r="AB38" s="5">
        <v>2292130</v>
      </c>
      <c r="AC38" s="21">
        <v>2294797</v>
      </c>
    </row>
    <row r="39" spans="1:29" ht="14.25" x14ac:dyDescent="0.2">
      <c r="A39" s="4" t="s">
        <v>118</v>
      </c>
      <c r="B39" s="5">
        <v>-88108</v>
      </c>
      <c r="C39" s="5">
        <v>-140351</v>
      </c>
      <c r="D39" s="5">
        <v>-127926</v>
      </c>
      <c r="E39" s="21">
        <v>-128775</v>
      </c>
      <c r="F39" s="5">
        <v>-127109</v>
      </c>
      <c r="G39" s="5">
        <v>-118120</v>
      </c>
      <c r="H39" s="5">
        <v>-99677</v>
      </c>
      <c r="I39" s="21">
        <v>-104363</v>
      </c>
      <c r="J39" s="5">
        <v>-90334</v>
      </c>
      <c r="K39" s="5">
        <v>-69426</v>
      </c>
      <c r="L39" s="5">
        <v>-256280</v>
      </c>
      <c r="M39" s="21">
        <v>-282391</v>
      </c>
      <c r="N39" s="5">
        <v>-312874</v>
      </c>
      <c r="O39" s="5">
        <v>-337330</v>
      </c>
      <c r="P39" s="5">
        <v>-343747</v>
      </c>
      <c r="Q39" s="21">
        <v>-359330</v>
      </c>
      <c r="R39" s="5">
        <v>-415153</v>
      </c>
      <c r="S39" s="5">
        <v>-442153</v>
      </c>
      <c r="T39" s="5">
        <v>-388000</v>
      </c>
      <c r="U39" s="21">
        <v>-315510</v>
      </c>
      <c r="V39" s="5">
        <v>-211985</v>
      </c>
      <c r="W39" s="5">
        <v>-51670</v>
      </c>
      <c r="X39" s="5">
        <v>-13561</v>
      </c>
      <c r="Y39" s="21">
        <v>-280910</v>
      </c>
      <c r="Z39" s="5">
        <v>-147632</v>
      </c>
      <c r="AA39" s="5">
        <v>-62074</v>
      </c>
      <c r="AB39" s="5">
        <v>-52089</v>
      </c>
      <c r="AC39" s="21">
        <v>-208979</v>
      </c>
    </row>
    <row r="40" spans="1:29" x14ac:dyDescent="0.2">
      <c r="A40" s="4" t="s">
        <v>189</v>
      </c>
      <c r="B40" s="6">
        <v>-113292</v>
      </c>
      <c r="C40" s="6">
        <v>-112122</v>
      </c>
      <c r="D40" s="6">
        <v>-110532</v>
      </c>
      <c r="E40" s="22">
        <v>-110744</v>
      </c>
      <c r="F40" s="6">
        <v>-109411</v>
      </c>
      <c r="G40" s="6">
        <v>-108614</v>
      </c>
      <c r="H40" s="6">
        <v>-107480</v>
      </c>
      <c r="I40" s="22">
        <v>-94851</v>
      </c>
      <c r="J40" s="6">
        <v>-117381</v>
      </c>
      <c r="K40" s="6">
        <v>-114450</v>
      </c>
      <c r="L40" s="6">
        <v>-111156</v>
      </c>
      <c r="M40" s="22">
        <v>-129431</v>
      </c>
      <c r="N40" s="6">
        <v>-136778</v>
      </c>
      <c r="O40" s="6">
        <v>-146187</v>
      </c>
      <c r="P40" s="6">
        <v>-152078</v>
      </c>
      <c r="Q40" s="22">
        <v>-147359</v>
      </c>
      <c r="R40" s="6">
        <v>-170306</v>
      </c>
      <c r="S40" s="6">
        <v>-169426</v>
      </c>
      <c r="T40" s="6">
        <v>-155146</v>
      </c>
      <c r="U40" s="22">
        <v>-120989</v>
      </c>
      <c r="V40" s="6">
        <v>-53929</v>
      </c>
      <c r="W40" s="6">
        <v>-82247</v>
      </c>
      <c r="X40" s="6">
        <v>-72765</v>
      </c>
      <c r="Y40" s="22">
        <v>-43238</v>
      </c>
      <c r="Z40" s="6">
        <v>7518</v>
      </c>
      <c r="AA40" s="6">
        <v>50962</v>
      </c>
      <c r="AB40" s="6">
        <v>84601</v>
      </c>
      <c r="AC40" s="22">
        <v>97652</v>
      </c>
    </row>
    <row r="41" spans="1:29" x14ac:dyDescent="0.2">
      <c r="A41" s="34" t="s">
        <v>37</v>
      </c>
      <c r="B41" s="8">
        <f t="shared" ref="B41:L41" si="32">SUM(B37:B40)</f>
        <v>190476</v>
      </c>
      <c r="C41" s="8">
        <f t="shared" si="32"/>
        <v>140543</v>
      </c>
      <c r="D41" s="8">
        <f t="shared" si="32"/>
        <v>155763</v>
      </c>
      <c r="E41" s="23">
        <f t="shared" si="32"/>
        <v>156274</v>
      </c>
      <c r="F41" s="8">
        <f t="shared" si="32"/>
        <v>159262</v>
      </c>
      <c r="G41" s="8">
        <f t="shared" si="32"/>
        <v>170329</v>
      </c>
      <c r="H41" s="8">
        <f t="shared" si="32"/>
        <v>191190</v>
      </c>
      <c r="I41" s="23">
        <f t="shared" si="32"/>
        <v>200542</v>
      </c>
      <c r="J41" s="8">
        <f t="shared" si="32"/>
        <v>1335442</v>
      </c>
      <c r="K41" s="8">
        <f t="shared" si="32"/>
        <v>1360926</v>
      </c>
      <c r="L41" s="8">
        <f t="shared" si="32"/>
        <v>1179069</v>
      </c>
      <c r="M41" s="23">
        <f t="shared" ref="M41:N41" si="33">SUM(M37:M40)</f>
        <v>1314779</v>
      </c>
      <c r="N41" s="8">
        <f t="shared" si="33"/>
        <v>1278386</v>
      </c>
      <c r="O41" s="8">
        <f t="shared" ref="O41:P41" si="34">SUM(O37:O40)</f>
        <v>1246050</v>
      </c>
      <c r="P41" s="8">
        <f t="shared" si="34"/>
        <v>1235729</v>
      </c>
      <c r="Q41" s="23">
        <f t="shared" ref="Q41:R41" si="35">SUM(Q37:Q40)</f>
        <v>1226831</v>
      </c>
      <c r="R41" s="8">
        <f t="shared" si="35"/>
        <v>1149614</v>
      </c>
      <c r="S41" s="8">
        <f t="shared" ref="S41:T41" si="36">SUM(S37:S40)</f>
        <v>1125476</v>
      </c>
      <c r="T41" s="8">
        <f t="shared" si="36"/>
        <v>1196077</v>
      </c>
      <c r="U41" s="23">
        <f t="shared" ref="U41:V41" si="37">SUM(U37:U40)</f>
        <v>1304953</v>
      </c>
      <c r="V41" s="8">
        <f t="shared" si="37"/>
        <v>1477549</v>
      </c>
      <c r="W41" s="8">
        <f t="shared" ref="W41:X41" si="38">SUM(W37:W40)</f>
        <v>1611789</v>
      </c>
      <c r="X41" s="8">
        <f t="shared" si="38"/>
        <v>1660106</v>
      </c>
      <c r="Y41" s="23">
        <f t="shared" ref="Y41:Z41" si="39">SUM(Y37:Y40)</f>
        <v>1526133</v>
      </c>
      <c r="Z41" s="8">
        <f t="shared" si="39"/>
        <v>1712198</v>
      </c>
      <c r="AA41" s="8">
        <f t="shared" ref="AA41:AB41" si="40">SUM(AA37:AA40)</f>
        <v>1843551</v>
      </c>
      <c r="AB41" s="8">
        <f t="shared" si="40"/>
        <v>2405419</v>
      </c>
      <c r="AC41" s="23">
        <f t="shared" ref="AC41" si="41">SUM(AC37:AC40)</f>
        <v>2263153</v>
      </c>
    </row>
    <row r="42" spans="1:29" ht="13.5" thickBot="1" x14ac:dyDescent="0.25">
      <c r="A42" s="35" t="s">
        <v>38</v>
      </c>
      <c r="B42" s="10">
        <f t="shared" ref="B42:L42" si="42">+B41+B34</f>
        <v>1001355</v>
      </c>
      <c r="C42" s="10">
        <f t="shared" si="42"/>
        <v>914145</v>
      </c>
      <c r="D42" s="10">
        <f t="shared" si="42"/>
        <v>933125</v>
      </c>
      <c r="E42" s="25">
        <f t="shared" si="42"/>
        <v>927681</v>
      </c>
      <c r="F42" s="10">
        <f t="shared" si="42"/>
        <v>932671</v>
      </c>
      <c r="G42" s="10">
        <f t="shared" si="42"/>
        <v>946774</v>
      </c>
      <c r="H42" s="10">
        <f t="shared" si="42"/>
        <v>970993</v>
      </c>
      <c r="I42" s="25">
        <f t="shared" si="42"/>
        <v>953079</v>
      </c>
      <c r="J42" s="10">
        <f t="shared" si="42"/>
        <v>2372353</v>
      </c>
      <c r="K42" s="10">
        <f t="shared" si="42"/>
        <v>2397149</v>
      </c>
      <c r="L42" s="10">
        <f t="shared" si="42"/>
        <v>2413071</v>
      </c>
      <c r="M42" s="25">
        <f t="shared" ref="M42:N42" si="43">+M41+M34</f>
        <v>2325852</v>
      </c>
      <c r="N42" s="10">
        <f t="shared" si="43"/>
        <v>2273214</v>
      </c>
      <c r="O42" s="10">
        <f t="shared" ref="O42:P42" si="44">+O41+O34</f>
        <v>2258941</v>
      </c>
      <c r="P42" s="10">
        <f t="shared" si="44"/>
        <v>2257054</v>
      </c>
      <c r="Q42" s="25">
        <f t="shared" ref="Q42:R42" si="45">+Q41+Q34</f>
        <v>2235059</v>
      </c>
      <c r="R42" s="10">
        <f t="shared" si="45"/>
        <v>2212882</v>
      </c>
      <c r="S42" s="10">
        <f t="shared" ref="S42:T42" si="46">+S41+S34</f>
        <v>2205170</v>
      </c>
      <c r="T42" s="10">
        <f t="shared" si="46"/>
        <v>2297913</v>
      </c>
      <c r="U42" s="25">
        <f t="shared" ref="U42:V42" si="47">+U41+U34</f>
        <v>2381065</v>
      </c>
      <c r="V42" s="10">
        <f t="shared" si="47"/>
        <v>2563629</v>
      </c>
      <c r="W42" s="10">
        <f t="shared" ref="W42:X42" si="48">+W41+W34</f>
        <v>2682798</v>
      </c>
      <c r="X42" s="10">
        <f t="shared" si="48"/>
        <v>2717867</v>
      </c>
      <c r="Y42" s="25">
        <f t="shared" ref="Y42:Z42" si="49">+Y41+Y34</f>
        <v>2535215</v>
      </c>
      <c r="Z42" s="10">
        <f t="shared" si="49"/>
        <v>2733616</v>
      </c>
      <c r="AA42" s="10">
        <f t="shared" ref="AA42:AB42" si="50">+AA41+AA34</f>
        <v>2871919</v>
      </c>
      <c r="AB42" s="10">
        <f t="shared" si="50"/>
        <v>3724788</v>
      </c>
      <c r="AC42" s="25">
        <f t="shared" ref="AC42" si="51">+AC41+AC34</f>
        <v>3550555</v>
      </c>
    </row>
    <row r="43" spans="1:29" ht="27" customHeight="1" thickTop="1" x14ac:dyDescent="0.2">
      <c r="A43" s="92" t="s">
        <v>207</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row>
    <row r="45" spans="1:29" x14ac:dyDescent="0.2">
      <c r="B45" s="38"/>
      <c r="C45" s="38"/>
      <c r="D45" s="38"/>
      <c r="E45" s="38"/>
      <c r="F45" s="38"/>
      <c r="G45" s="38"/>
      <c r="H45" s="38"/>
      <c r="I45" s="38"/>
      <c r="J45" s="38"/>
      <c r="K45" s="38"/>
      <c r="L45" s="38"/>
      <c r="M45" s="38"/>
      <c r="N45" s="38"/>
      <c r="O45" s="38"/>
      <c r="P45" s="38"/>
      <c r="Q45" s="83"/>
      <c r="R45" s="38"/>
      <c r="S45" s="38"/>
      <c r="T45" s="38"/>
      <c r="U45" s="83"/>
      <c r="V45" s="38"/>
      <c r="W45" s="38"/>
      <c r="X45" s="38"/>
      <c r="Y45" s="83"/>
      <c r="Z45" s="38"/>
      <c r="AA45" s="38"/>
      <c r="AB45" s="38"/>
      <c r="AC45" s="83"/>
    </row>
  </sheetData>
  <mergeCells count="1">
    <mergeCell ref="A43:AC43"/>
  </mergeCells>
  <conditionalFormatting sqref="A7:H11 A27:H27 J27:L27 J7:L11 B35:M35 A43 J30:L42 A30:H42 A13:V23 A29 A25:V25 A24">
    <cfRule type="expression" dxfId="786" priority="251" stopIfTrue="1">
      <formula>MOD(ROW(),2)=0</formula>
    </cfRule>
  </conditionalFormatting>
  <conditionalFormatting sqref="J7:L11">
    <cfRule type="expression" dxfId="785" priority="250" stopIfTrue="1">
      <formula>MOD(ROW(),2)=0</formula>
    </cfRule>
  </conditionalFormatting>
  <conditionalFormatting sqref="E7:H11 J7:L11">
    <cfRule type="expression" dxfId="784" priority="249" stopIfTrue="1">
      <formula>MOD(ROW(),2)=0</formula>
    </cfRule>
  </conditionalFormatting>
  <conditionalFormatting sqref="A26:H26 J26:L26">
    <cfRule type="expression" dxfId="783" priority="246" stopIfTrue="1">
      <formula>MOD(ROW(),2)=0</formula>
    </cfRule>
  </conditionalFormatting>
  <conditionalFormatting sqref="A12:H12 J12:L12">
    <cfRule type="expression" dxfId="782" priority="245" stopIfTrue="1">
      <formula>MOD(ROW(),2)=0</formula>
    </cfRule>
  </conditionalFormatting>
  <conditionalFormatting sqref="J12:L12">
    <cfRule type="expression" dxfId="781" priority="244" stopIfTrue="1">
      <formula>MOD(ROW(),2)=0</formula>
    </cfRule>
  </conditionalFormatting>
  <conditionalFormatting sqref="E12:H12 J12:L12">
    <cfRule type="expression" dxfId="780" priority="243" stopIfTrue="1">
      <formula>MOD(ROW(),2)=0</formula>
    </cfRule>
  </conditionalFormatting>
  <conditionalFormatting sqref="I7:I11 I27 I30:I42">
    <cfRule type="expression" dxfId="779" priority="242" stopIfTrue="1">
      <formula>MOD(ROW(),2)=0</formula>
    </cfRule>
  </conditionalFormatting>
  <conditionalFormatting sqref="I7:I11">
    <cfRule type="expression" dxfId="778" priority="241" stopIfTrue="1">
      <formula>MOD(ROW(),2)=0</formula>
    </cfRule>
  </conditionalFormatting>
  <conditionalFormatting sqref="I26">
    <cfRule type="expression" dxfId="777" priority="240" stopIfTrue="1">
      <formula>MOD(ROW(),2)=0</formula>
    </cfRule>
  </conditionalFormatting>
  <conditionalFormatting sqref="I12">
    <cfRule type="expression" dxfId="776" priority="239" stopIfTrue="1">
      <formula>MOD(ROW(),2)=0</formula>
    </cfRule>
  </conditionalFormatting>
  <conditionalFormatting sqref="I12">
    <cfRule type="expression" dxfId="775" priority="238" stopIfTrue="1">
      <formula>MOD(ROW(),2)=0</formula>
    </cfRule>
  </conditionalFormatting>
  <conditionalFormatting sqref="M7:M11 M27 M30:M42">
    <cfRule type="expression" dxfId="774" priority="237" stopIfTrue="1">
      <formula>MOD(ROW(),2)=0</formula>
    </cfRule>
  </conditionalFormatting>
  <conditionalFormatting sqref="M7:M11">
    <cfRule type="expression" dxfId="773" priority="236" stopIfTrue="1">
      <formula>MOD(ROW(),2)=0</formula>
    </cfRule>
  </conditionalFormatting>
  <conditionalFormatting sqref="M26">
    <cfRule type="expression" dxfId="772" priority="235" stopIfTrue="1">
      <formula>MOD(ROW(),2)=0</formula>
    </cfRule>
  </conditionalFormatting>
  <conditionalFormatting sqref="M12">
    <cfRule type="expression" dxfId="771" priority="234" stopIfTrue="1">
      <formula>MOD(ROW(),2)=0</formula>
    </cfRule>
  </conditionalFormatting>
  <conditionalFormatting sqref="M12">
    <cfRule type="expression" dxfId="770" priority="233" stopIfTrue="1">
      <formula>MOD(ROW(),2)=0</formula>
    </cfRule>
  </conditionalFormatting>
  <conditionalFormatting sqref="N27 N7:N11 N30:N42">
    <cfRule type="expression" dxfId="769" priority="232" stopIfTrue="1">
      <formula>MOD(ROW(),2)=0</formula>
    </cfRule>
  </conditionalFormatting>
  <conditionalFormatting sqref="N7:N11">
    <cfRule type="expression" dxfId="768" priority="231" stopIfTrue="1">
      <formula>MOD(ROW(),2)=0</formula>
    </cfRule>
  </conditionalFormatting>
  <conditionalFormatting sqref="N7:N11">
    <cfRule type="expression" dxfId="767" priority="230" stopIfTrue="1">
      <formula>MOD(ROW(),2)=0</formula>
    </cfRule>
  </conditionalFormatting>
  <conditionalFormatting sqref="N26">
    <cfRule type="expression" dxfId="766" priority="229" stopIfTrue="1">
      <formula>MOD(ROW(),2)=0</formula>
    </cfRule>
  </conditionalFormatting>
  <conditionalFormatting sqref="N12">
    <cfRule type="expression" dxfId="765" priority="228" stopIfTrue="1">
      <formula>MOD(ROW(),2)=0</formula>
    </cfRule>
  </conditionalFormatting>
  <conditionalFormatting sqref="N12">
    <cfRule type="expression" dxfId="764" priority="227" stopIfTrue="1">
      <formula>MOD(ROW(),2)=0</formula>
    </cfRule>
  </conditionalFormatting>
  <conditionalFormatting sqref="N12">
    <cfRule type="expression" dxfId="763" priority="226" stopIfTrue="1">
      <formula>MOD(ROW(),2)=0</formula>
    </cfRule>
  </conditionalFormatting>
  <conditionalFormatting sqref="O27 O7:O11 O30:O42">
    <cfRule type="expression" dxfId="762" priority="225" stopIfTrue="1">
      <formula>MOD(ROW(),2)=0</formula>
    </cfRule>
  </conditionalFormatting>
  <conditionalFormatting sqref="O7:O11">
    <cfRule type="expression" dxfId="761" priority="224" stopIfTrue="1">
      <formula>MOD(ROW(),2)=0</formula>
    </cfRule>
  </conditionalFormatting>
  <conditionalFormatting sqref="O7:O11">
    <cfRule type="expression" dxfId="760" priority="223" stopIfTrue="1">
      <formula>MOD(ROW(),2)=0</formula>
    </cfRule>
  </conditionalFormatting>
  <conditionalFormatting sqref="O26">
    <cfRule type="expression" dxfId="759" priority="222" stopIfTrue="1">
      <formula>MOD(ROW(),2)=0</formula>
    </cfRule>
  </conditionalFormatting>
  <conditionalFormatting sqref="O12">
    <cfRule type="expression" dxfId="758" priority="221" stopIfTrue="1">
      <formula>MOD(ROW(),2)=0</formula>
    </cfRule>
  </conditionalFormatting>
  <conditionalFormatting sqref="O12">
    <cfRule type="expression" dxfId="757" priority="220" stopIfTrue="1">
      <formula>MOD(ROW(),2)=0</formula>
    </cfRule>
  </conditionalFormatting>
  <conditionalFormatting sqref="O12">
    <cfRule type="expression" dxfId="756" priority="219" stopIfTrue="1">
      <formula>MOD(ROW(),2)=0</formula>
    </cfRule>
  </conditionalFormatting>
  <conditionalFormatting sqref="P27 P7:P11 P30:P42">
    <cfRule type="expression" dxfId="755" priority="218" stopIfTrue="1">
      <formula>MOD(ROW(),2)=0</formula>
    </cfRule>
  </conditionalFormatting>
  <conditionalFormatting sqref="P7:P11">
    <cfRule type="expression" dxfId="754" priority="217" stopIfTrue="1">
      <formula>MOD(ROW(),2)=0</formula>
    </cfRule>
  </conditionalFormatting>
  <conditionalFormatting sqref="P7:P11">
    <cfRule type="expression" dxfId="753" priority="216" stopIfTrue="1">
      <formula>MOD(ROW(),2)=0</formula>
    </cfRule>
  </conditionalFormatting>
  <conditionalFormatting sqref="P26">
    <cfRule type="expression" dxfId="752" priority="215" stopIfTrue="1">
      <formula>MOD(ROW(),2)=0</formula>
    </cfRule>
  </conditionalFormatting>
  <conditionalFormatting sqref="P12">
    <cfRule type="expression" dxfId="751" priority="214" stopIfTrue="1">
      <formula>MOD(ROW(),2)=0</formula>
    </cfRule>
  </conditionalFormatting>
  <conditionalFormatting sqref="P12">
    <cfRule type="expression" dxfId="750" priority="213" stopIfTrue="1">
      <formula>MOD(ROW(),2)=0</formula>
    </cfRule>
  </conditionalFormatting>
  <conditionalFormatting sqref="P12">
    <cfRule type="expression" dxfId="749" priority="212" stopIfTrue="1">
      <formula>MOD(ROW(),2)=0</formula>
    </cfRule>
  </conditionalFormatting>
  <conditionalFormatting sqref="Q27 Q7:Q11 Q30:Q42">
    <cfRule type="expression" dxfId="748" priority="211" stopIfTrue="1">
      <formula>MOD(ROW(),2)=0</formula>
    </cfRule>
  </conditionalFormatting>
  <conditionalFormatting sqref="Q7:Q11">
    <cfRule type="expression" dxfId="747" priority="210" stopIfTrue="1">
      <formula>MOD(ROW(),2)=0</formula>
    </cfRule>
  </conditionalFormatting>
  <conditionalFormatting sqref="Q7:Q11">
    <cfRule type="expression" dxfId="746" priority="209" stopIfTrue="1">
      <formula>MOD(ROW(),2)=0</formula>
    </cfRule>
  </conditionalFormatting>
  <conditionalFormatting sqref="Q26">
    <cfRule type="expression" dxfId="745" priority="208" stopIfTrue="1">
      <formula>MOD(ROW(),2)=0</formula>
    </cfRule>
  </conditionalFormatting>
  <conditionalFormatting sqref="Q12">
    <cfRule type="expression" dxfId="744" priority="207" stopIfTrue="1">
      <formula>MOD(ROW(),2)=0</formula>
    </cfRule>
  </conditionalFormatting>
  <conditionalFormatting sqref="Q12">
    <cfRule type="expression" dxfId="743" priority="206" stopIfTrue="1">
      <formula>MOD(ROW(),2)=0</formula>
    </cfRule>
  </conditionalFormatting>
  <conditionalFormatting sqref="Q12">
    <cfRule type="expression" dxfId="742" priority="205" stopIfTrue="1">
      <formula>MOD(ROW(),2)=0</formula>
    </cfRule>
  </conditionalFormatting>
  <conditionalFormatting sqref="R27 R7:R11 R30:R42">
    <cfRule type="expression" dxfId="741" priority="204" stopIfTrue="1">
      <formula>MOD(ROW(),2)=0</formula>
    </cfRule>
  </conditionalFormatting>
  <conditionalFormatting sqref="R7:R11">
    <cfRule type="expression" dxfId="740" priority="203" stopIfTrue="1">
      <formula>MOD(ROW(),2)=0</formula>
    </cfRule>
  </conditionalFormatting>
  <conditionalFormatting sqref="R7:R11">
    <cfRule type="expression" dxfId="739" priority="202" stopIfTrue="1">
      <formula>MOD(ROW(),2)=0</formula>
    </cfRule>
  </conditionalFormatting>
  <conditionalFormatting sqref="R26">
    <cfRule type="expression" dxfId="738" priority="201" stopIfTrue="1">
      <formula>MOD(ROW(),2)=0</formula>
    </cfRule>
  </conditionalFormatting>
  <conditionalFormatting sqref="R12">
    <cfRule type="expression" dxfId="737" priority="200" stopIfTrue="1">
      <formula>MOD(ROW(),2)=0</formula>
    </cfRule>
  </conditionalFormatting>
  <conditionalFormatting sqref="R12">
    <cfRule type="expression" dxfId="736" priority="199" stopIfTrue="1">
      <formula>MOD(ROW(),2)=0</formula>
    </cfRule>
  </conditionalFormatting>
  <conditionalFormatting sqref="R12">
    <cfRule type="expression" dxfId="735" priority="198" stopIfTrue="1">
      <formula>MOD(ROW(),2)=0</formula>
    </cfRule>
  </conditionalFormatting>
  <conditionalFormatting sqref="S27 S7:S11 S29:S42 T29:V29 B29:R29">
    <cfRule type="expression" dxfId="734" priority="197" stopIfTrue="1">
      <formula>MOD(ROW(),2)=0</formula>
    </cfRule>
  </conditionalFormatting>
  <conditionalFormatting sqref="S7:S11">
    <cfRule type="expression" dxfId="733" priority="196" stopIfTrue="1">
      <formula>MOD(ROW(),2)=0</formula>
    </cfRule>
  </conditionalFormatting>
  <conditionalFormatting sqref="S7:S11">
    <cfRule type="expression" dxfId="732" priority="195" stopIfTrue="1">
      <formula>MOD(ROW(),2)=0</formula>
    </cfRule>
  </conditionalFormatting>
  <conditionalFormatting sqref="S26">
    <cfRule type="expression" dxfId="731" priority="194" stopIfTrue="1">
      <formula>MOD(ROW(),2)=0</formula>
    </cfRule>
  </conditionalFormatting>
  <conditionalFormatting sqref="S12">
    <cfRule type="expression" dxfId="730" priority="193" stopIfTrue="1">
      <formula>MOD(ROW(),2)=0</formula>
    </cfRule>
  </conditionalFormatting>
  <conditionalFormatting sqref="S12">
    <cfRule type="expression" dxfId="729" priority="192" stopIfTrue="1">
      <formula>MOD(ROW(),2)=0</formula>
    </cfRule>
  </conditionalFormatting>
  <conditionalFormatting sqref="S12">
    <cfRule type="expression" dxfId="728" priority="191" stopIfTrue="1">
      <formula>MOD(ROW(),2)=0</formula>
    </cfRule>
  </conditionalFormatting>
  <conditionalFormatting sqref="T27 T7:T11 T30:T42">
    <cfRule type="expression" dxfId="727" priority="190" stopIfTrue="1">
      <formula>MOD(ROW(),2)=0</formula>
    </cfRule>
  </conditionalFormatting>
  <conditionalFormatting sqref="T7:T11">
    <cfRule type="expression" dxfId="726" priority="189" stopIfTrue="1">
      <formula>MOD(ROW(),2)=0</formula>
    </cfRule>
  </conditionalFormatting>
  <conditionalFormatting sqref="T7:T11">
    <cfRule type="expression" dxfId="725" priority="188" stopIfTrue="1">
      <formula>MOD(ROW(),2)=0</formula>
    </cfRule>
  </conditionalFormatting>
  <conditionalFormatting sqref="T26">
    <cfRule type="expression" dxfId="724" priority="187" stopIfTrue="1">
      <formula>MOD(ROW(),2)=0</formula>
    </cfRule>
  </conditionalFormatting>
  <conditionalFormatting sqref="T12">
    <cfRule type="expression" dxfId="723" priority="186" stopIfTrue="1">
      <formula>MOD(ROW(),2)=0</formula>
    </cfRule>
  </conditionalFormatting>
  <conditionalFormatting sqref="T12">
    <cfRule type="expression" dxfId="722" priority="185" stopIfTrue="1">
      <formula>MOD(ROW(),2)=0</formula>
    </cfRule>
  </conditionalFormatting>
  <conditionalFormatting sqref="T12">
    <cfRule type="expression" dxfId="721" priority="184" stopIfTrue="1">
      <formula>MOD(ROW(),2)=0</formula>
    </cfRule>
  </conditionalFormatting>
  <conditionalFormatting sqref="U27 U7:U11 U30:U42">
    <cfRule type="expression" dxfId="720" priority="176" stopIfTrue="1">
      <formula>MOD(ROW(),2)=0</formula>
    </cfRule>
  </conditionalFormatting>
  <conditionalFormatting sqref="U7:U11">
    <cfRule type="expression" dxfId="719" priority="175" stopIfTrue="1">
      <formula>MOD(ROW(),2)=0</formula>
    </cfRule>
  </conditionalFormatting>
  <conditionalFormatting sqref="U7:U11">
    <cfRule type="expression" dxfId="718" priority="174" stopIfTrue="1">
      <formula>MOD(ROW(),2)=0</formula>
    </cfRule>
  </conditionalFormatting>
  <conditionalFormatting sqref="U26">
    <cfRule type="expression" dxfId="717" priority="173" stopIfTrue="1">
      <formula>MOD(ROW(),2)=0</formula>
    </cfRule>
  </conditionalFormatting>
  <conditionalFormatting sqref="U12">
    <cfRule type="expression" dxfId="716" priority="172" stopIfTrue="1">
      <formula>MOD(ROW(),2)=0</formula>
    </cfRule>
  </conditionalFormatting>
  <conditionalFormatting sqref="U12">
    <cfRule type="expression" dxfId="715" priority="171" stopIfTrue="1">
      <formula>MOD(ROW(),2)=0</formula>
    </cfRule>
  </conditionalFormatting>
  <conditionalFormatting sqref="U12">
    <cfRule type="expression" dxfId="714" priority="170" stopIfTrue="1">
      <formula>MOD(ROW(),2)=0</formula>
    </cfRule>
  </conditionalFormatting>
  <conditionalFormatting sqref="V27 V7:V11 V30:V42">
    <cfRule type="expression" dxfId="713" priority="169" stopIfTrue="1">
      <formula>MOD(ROW(),2)=0</formula>
    </cfRule>
  </conditionalFormatting>
  <conditionalFormatting sqref="V7:V11">
    <cfRule type="expression" dxfId="712" priority="168" stopIfTrue="1">
      <formula>MOD(ROW(),2)=0</formula>
    </cfRule>
  </conditionalFormatting>
  <conditionalFormatting sqref="V7:V11">
    <cfRule type="expression" dxfId="711" priority="167" stopIfTrue="1">
      <formula>MOD(ROW(),2)=0</formula>
    </cfRule>
  </conditionalFormatting>
  <conditionalFormatting sqref="V26">
    <cfRule type="expression" dxfId="710" priority="166" stopIfTrue="1">
      <formula>MOD(ROW(),2)=0</formula>
    </cfRule>
  </conditionalFormatting>
  <conditionalFormatting sqref="V12">
    <cfRule type="expression" dxfId="709" priority="165" stopIfTrue="1">
      <formula>MOD(ROW(),2)=0</formula>
    </cfRule>
  </conditionalFormatting>
  <conditionalFormatting sqref="V12">
    <cfRule type="expression" dxfId="708" priority="164" stopIfTrue="1">
      <formula>MOD(ROW(),2)=0</formula>
    </cfRule>
  </conditionalFormatting>
  <conditionalFormatting sqref="V12">
    <cfRule type="expression" dxfId="707" priority="163" stopIfTrue="1">
      <formula>MOD(ROW(),2)=0</formula>
    </cfRule>
  </conditionalFormatting>
  <conditionalFormatting sqref="A28:H28 J28:L28">
    <cfRule type="expression" dxfId="706" priority="162" stopIfTrue="1">
      <formula>MOD(ROW(),2)=0</formula>
    </cfRule>
  </conditionalFormatting>
  <conditionalFormatting sqref="J28:L28">
    <cfRule type="expression" dxfId="705" priority="161" stopIfTrue="1">
      <formula>MOD(ROW(),2)=0</formula>
    </cfRule>
  </conditionalFormatting>
  <conditionalFormatting sqref="E28:H28 J28:L28">
    <cfRule type="expression" dxfId="704" priority="160" stopIfTrue="1">
      <formula>MOD(ROW(),2)=0</formula>
    </cfRule>
  </conditionalFormatting>
  <conditionalFormatting sqref="I28">
    <cfRule type="expression" dxfId="703" priority="159" stopIfTrue="1">
      <formula>MOD(ROW(),2)=0</formula>
    </cfRule>
  </conditionalFormatting>
  <conditionalFormatting sqref="I28">
    <cfRule type="expression" dxfId="702" priority="158" stopIfTrue="1">
      <formula>MOD(ROW(),2)=0</formula>
    </cfRule>
  </conditionalFormatting>
  <conditionalFormatting sqref="M28">
    <cfRule type="expression" dxfId="701" priority="157" stopIfTrue="1">
      <formula>MOD(ROW(),2)=0</formula>
    </cfRule>
  </conditionalFormatting>
  <conditionalFormatting sqref="M28">
    <cfRule type="expression" dxfId="700" priority="156" stopIfTrue="1">
      <formula>MOD(ROW(),2)=0</formula>
    </cfRule>
  </conditionalFormatting>
  <conditionalFormatting sqref="N28">
    <cfRule type="expression" dxfId="699" priority="155" stopIfTrue="1">
      <formula>MOD(ROW(),2)=0</formula>
    </cfRule>
  </conditionalFormatting>
  <conditionalFormatting sqref="N28">
    <cfRule type="expression" dxfId="698" priority="154" stopIfTrue="1">
      <formula>MOD(ROW(),2)=0</formula>
    </cfRule>
  </conditionalFormatting>
  <conditionalFormatting sqref="N28">
    <cfRule type="expression" dxfId="697" priority="153" stopIfTrue="1">
      <formula>MOD(ROW(),2)=0</formula>
    </cfRule>
  </conditionalFormatting>
  <conditionalFormatting sqref="O28">
    <cfRule type="expression" dxfId="696" priority="152" stopIfTrue="1">
      <formula>MOD(ROW(),2)=0</formula>
    </cfRule>
  </conditionalFormatting>
  <conditionalFormatting sqref="O28">
    <cfRule type="expression" dxfId="695" priority="151" stopIfTrue="1">
      <formula>MOD(ROW(),2)=0</formula>
    </cfRule>
  </conditionalFormatting>
  <conditionalFormatting sqref="O28">
    <cfRule type="expression" dxfId="694" priority="150" stopIfTrue="1">
      <formula>MOD(ROW(),2)=0</formula>
    </cfRule>
  </conditionalFormatting>
  <conditionalFormatting sqref="P28">
    <cfRule type="expression" dxfId="693" priority="149" stopIfTrue="1">
      <formula>MOD(ROW(),2)=0</formula>
    </cfRule>
  </conditionalFormatting>
  <conditionalFormatting sqref="P28">
    <cfRule type="expression" dxfId="692" priority="148" stopIfTrue="1">
      <formula>MOD(ROW(),2)=0</formula>
    </cfRule>
  </conditionalFormatting>
  <conditionalFormatting sqref="P28">
    <cfRule type="expression" dxfId="691" priority="147" stopIfTrue="1">
      <formula>MOD(ROW(),2)=0</formula>
    </cfRule>
  </conditionalFormatting>
  <conditionalFormatting sqref="Q28">
    <cfRule type="expression" dxfId="690" priority="146" stopIfTrue="1">
      <formula>MOD(ROW(),2)=0</formula>
    </cfRule>
  </conditionalFormatting>
  <conditionalFormatting sqref="Q28">
    <cfRule type="expression" dxfId="689" priority="145" stopIfTrue="1">
      <formula>MOD(ROW(),2)=0</formula>
    </cfRule>
  </conditionalFormatting>
  <conditionalFormatting sqref="Q28">
    <cfRule type="expression" dxfId="688" priority="144" stopIfTrue="1">
      <formula>MOD(ROW(),2)=0</formula>
    </cfRule>
  </conditionalFormatting>
  <conditionalFormatting sqref="R28">
    <cfRule type="expression" dxfId="687" priority="143" stopIfTrue="1">
      <formula>MOD(ROW(),2)=0</formula>
    </cfRule>
  </conditionalFormatting>
  <conditionalFormatting sqref="R28">
    <cfRule type="expression" dxfId="686" priority="142" stopIfTrue="1">
      <formula>MOD(ROW(),2)=0</formula>
    </cfRule>
  </conditionalFormatting>
  <conditionalFormatting sqref="R28">
    <cfRule type="expression" dxfId="685" priority="141" stopIfTrue="1">
      <formula>MOD(ROW(),2)=0</formula>
    </cfRule>
  </conditionalFormatting>
  <conditionalFormatting sqref="S28">
    <cfRule type="expression" dxfId="684" priority="140" stopIfTrue="1">
      <formula>MOD(ROW(),2)=0</formula>
    </cfRule>
  </conditionalFormatting>
  <conditionalFormatting sqref="S28">
    <cfRule type="expression" dxfId="683" priority="139" stopIfTrue="1">
      <formula>MOD(ROW(),2)=0</formula>
    </cfRule>
  </conditionalFormatting>
  <conditionalFormatting sqref="S28">
    <cfRule type="expression" dxfId="682" priority="138" stopIfTrue="1">
      <formula>MOD(ROW(),2)=0</formula>
    </cfRule>
  </conditionalFormatting>
  <conditionalFormatting sqref="T28">
    <cfRule type="expression" dxfId="681" priority="137" stopIfTrue="1">
      <formula>MOD(ROW(),2)=0</formula>
    </cfRule>
  </conditionalFormatting>
  <conditionalFormatting sqref="T28">
    <cfRule type="expression" dxfId="680" priority="136" stopIfTrue="1">
      <formula>MOD(ROW(),2)=0</formula>
    </cfRule>
  </conditionalFormatting>
  <conditionalFormatting sqref="T28">
    <cfRule type="expression" dxfId="679" priority="135" stopIfTrue="1">
      <formula>MOD(ROW(),2)=0</formula>
    </cfRule>
  </conditionalFormatting>
  <conditionalFormatting sqref="U28">
    <cfRule type="expression" dxfId="678" priority="134" stopIfTrue="1">
      <formula>MOD(ROW(),2)=0</formula>
    </cfRule>
  </conditionalFormatting>
  <conditionalFormatting sqref="U28">
    <cfRule type="expression" dxfId="677" priority="133" stopIfTrue="1">
      <formula>MOD(ROW(),2)=0</formula>
    </cfRule>
  </conditionalFormatting>
  <conditionalFormatting sqref="U28">
    <cfRule type="expression" dxfId="676" priority="132" stopIfTrue="1">
      <formula>MOD(ROW(),2)=0</formula>
    </cfRule>
  </conditionalFormatting>
  <conditionalFormatting sqref="V28">
    <cfRule type="expression" dxfId="675" priority="131" stopIfTrue="1">
      <formula>MOD(ROW(),2)=0</formula>
    </cfRule>
  </conditionalFormatting>
  <conditionalFormatting sqref="V28">
    <cfRule type="expression" dxfId="674" priority="130" stopIfTrue="1">
      <formula>MOD(ROW(),2)=0</formula>
    </cfRule>
  </conditionalFormatting>
  <conditionalFormatting sqref="V28">
    <cfRule type="expression" dxfId="673" priority="129" stopIfTrue="1">
      <formula>MOD(ROW(),2)=0</formula>
    </cfRule>
  </conditionalFormatting>
  <conditionalFormatting sqref="B24:H24 J24:L24">
    <cfRule type="expression" dxfId="672" priority="128" stopIfTrue="1">
      <formula>MOD(ROW(),2)=0</formula>
    </cfRule>
  </conditionalFormatting>
  <conditionalFormatting sqref="J24:L24">
    <cfRule type="expression" dxfId="671" priority="127" stopIfTrue="1">
      <formula>MOD(ROW(),2)=0</formula>
    </cfRule>
  </conditionalFormatting>
  <conditionalFormatting sqref="E24:H24 J24:L24">
    <cfRule type="expression" dxfId="670" priority="126" stopIfTrue="1">
      <formula>MOD(ROW(),2)=0</formula>
    </cfRule>
  </conditionalFormatting>
  <conditionalFormatting sqref="I24">
    <cfRule type="expression" dxfId="669" priority="125" stopIfTrue="1">
      <formula>MOD(ROW(),2)=0</formula>
    </cfRule>
  </conditionalFormatting>
  <conditionalFormatting sqref="I24">
    <cfRule type="expression" dxfId="668" priority="124" stopIfTrue="1">
      <formula>MOD(ROW(),2)=0</formula>
    </cfRule>
  </conditionalFormatting>
  <conditionalFormatting sqref="M24">
    <cfRule type="expression" dxfId="667" priority="123" stopIfTrue="1">
      <formula>MOD(ROW(),2)=0</formula>
    </cfRule>
  </conditionalFormatting>
  <conditionalFormatting sqref="M24">
    <cfRule type="expression" dxfId="666" priority="122" stopIfTrue="1">
      <formula>MOD(ROW(),2)=0</formula>
    </cfRule>
  </conditionalFormatting>
  <conditionalFormatting sqref="N24">
    <cfRule type="expression" dxfId="665" priority="121" stopIfTrue="1">
      <formula>MOD(ROW(),2)=0</formula>
    </cfRule>
  </conditionalFormatting>
  <conditionalFormatting sqref="N24">
    <cfRule type="expression" dxfId="664" priority="120" stopIfTrue="1">
      <formula>MOD(ROW(),2)=0</formula>
    </cfRule>
  </conditionalFormatting>
  <conditionalFormatting sqref="N24">
    <cfRule type="expression" dxfId="663" priority="119" stopIfTrue="1">
      <formula>MOD(ROW(),2)=0</formula>
    </cfRule>
  </conditionalFormatting>
  <conditionalFormatting sqref="O24">
    <cfRule type="expression" dxfId="662" priority="118" stopIfTrue="1">
      <formula>MOD(ROW(),2)=0</formula>
    </cfRule>
  </conditionalFormatting>
  <conditionalFormatting sqref="O24">
    <cfRule type="expression" dxfId="661" priority="117" stopIfTrue="1">
      <formula>MOD(ROW(),2)=0</formula>
    </cfRule>
  </conditionalFormatting>
  <conditionalFormatting sqref="O24">
    <cfRule type="expression" dxfId="660" priority="116" stopIfTrue="1">
      <formula>MOD(ROW(),2)=0</formula>
    </cfRule>
  </conditionalFormatting>
  <conditionalFormatting sqref="P24">
    <cfRule type="expression" dxfId="659" priority="115" stopIfTrue="1">
      <formula>MOD(ROW(),2)=0</formula>
    </cfRule>
  </conditionalFormatting>
  <conditionalFormatting sqref="P24">
    <cfRule type="expression" dxfId="658" priority="114" stopIfTrue="1">
      <formula>MOD(ROW(),2)=0</formula>
    </cfRule>
  </conditionalFormatting>
  <conditionalFormatting sqref="P24">
    <cfRule type="expression" dxfId="657" priority="113" stopIfTrue="1">
      <formula>MOD(ROW(),2)=0</formula>
    </cfRule>
  </conditionalFormatting>
  <conditionalFormatting sqref="Q24">
    <cfRule type="expression" dxfId="656" priority="112" stopIfTrue="1">
      <formula>MOD(ROW(),2)=0</formula>
    </cfRule>
  </conditionalFormatting>
  <conditionalFormatting sqref="Q24">
    <cfRule type="expression" dxfId="655" priority="111" stopIfTrue="1">
      <formula>MOD(ROW(),2)=0</formula>
    </cfRule>
  </conditionalFormatting>
  <conditionalFormatting sqref="Q24">
    <cfRule type="expression" dxfId="654" priority="110" stopIfTrue="1">
      <formula>MOD(ROW(),2)=0</formula>
    </cfRule>
  </conditionalFormatting>
  <conditionalFormatting sqref="R24">
    <cfRule type="expression" dxfId="653" priority="109" stopIfTrue="1">
      <formula>MOD(ROW(),2)=0</formula>
    </cfRule>
  </conditionalFormatting>
  <conditionalFormatting sqref="R24">
    <cfRule type="expression" dxfId="652" priority="108" stopIfTrue="1">
      <formula>MOD(ROW(),2)=0</formula>
    </cfRule>
  </conditionalFormatting>
  <conditionalFormatting sqref="R24">
    <cfRule type="expression" dxfId="651" priority="107" stopIfTrue="1">
      <formula>MOD(ROW(),2)=0</formula>
    </cfRule>
  </conditionalFormatting>
  <conditionalFormatting sqref="S24">
    <cfRule type="expression" dxfId="650" priority="106" stopIfTrue="1">
      <formula>MOD(ROW(),2)=0</formula>
    </cfRule>
  </conditionalFormatting>
  <conditionalFormatting sqref="S24">
    <cfRule type="expression" dxfId="649" priority="105" stopIfTrue="1">
      <formula>MOD(ROW(),2)=0</formula>
    </cfRule>
  </conditionalFormatting>
  <conditionalFormatting sqref="S24">
    <cfRule type="expression" dxfId="648" priority="104" stopIfTrue="1">
      <formula>MOD(ROW(),2)=0</formula>
    </cfRule>
  </conditionalFormatting>
  <conditionalFormatting sqref="T24">
    <cfRule type="expression" dxfId="647" priority="103" stopIfTrue="1">
      <formula>MOD(ROW(),2)=0</formula>
    </cfRule>
  </conditionalFormatting>
  <conditionalFormatting sqref="T24">
    <cfRule type="expression" dxfId="646" priority="102" stopIfTrue="1">
      <formula>MOD(ROW(),2)=0</formula>
    </cfRule>
  </conditionalFormatting>
  <conditionalFormatting sqref="T24">
    <cfRule type="expression" dxfId="645" priority="101" stopIfTrue="1">
      <formula>MOD(ROW(),2)=0</formula>
    </cfRule>
  </conditionalFormatting>
  <conditionalFormatting sqref="U24">
    <cfRule type="expression" dxfId="644" priority="100" stopIfTrue="1">
      <formula>MOD(ROW(),2)=0</formula>
    </cfRule>
  </conditionalFormatting>
  <conditionalFormatting sqref="U24">
    <cfRule type="expression" dxfId="643" priority="99" stopIfTrue="1">
      <formula>MOD(ROW(),2)=0</formula>
    </cfRule>
  </conditionalFormatting>
  <conditionalFormatting sqref="U24">
    <cfRule type="expression" dxfId="642" priority="98" stopIfTrue="1">
      <formula>MOD(ROW(),2)=0</formula>
    </cfRule>
  </conditionalFormatting>
  <conditionalFormatting sqref="V24">
    <cfRule type="expression" dxfId="641" priority="97" stopIfTrue="1">
      <formula>MOD(ROW(),2)=0</formula>
    </cfRule>
  </conditionalFormatting>
  <conditionalFormatting sqref="V24">
    <cfRule type="expression" dxfId="640" priority="96" stopIfTrue="1">
      <formula>MOD(ROW(),2)=0</formula>
    </cfRule>
  </conditionalFormatting>
  <conditionalFormatting sqref="V24">
    <cfRule type="expression" dxfId="639" priority="95" stopIfTrue="1">
      <formula>MOD(ROW(),2)=0</formula>
    </cfRule>
  </conditionalFormatting>
  <conditionalFormatting sqref="W13:W23 W25">
    <cfRule type="expression" dxfId="638" priority="94" stopIfTrue="1">
      <formula>MOD(ROW(),2)=0</formula>
    </cfRule>
  </conditionalFormatting>
  <conditionalFormatting sqref="W29">
    <cfRule type="expression" dxfId="637" priority="93" stopIfTrue="1">
      <formula>MOD(ROW(),2)=0</formula>
    </cfRule>
  </conditionalFormatting>
  <conditionalFormatting sqref="W27 W7:W11 W30:W42">
    <cfRule type="expression" dxfId="636" priority="92" stopIfTrue="1">
      <formula>MOD(ROW(),2)=0</formula>
    </cfRule>
  </conditionalFormatting>
  <conditionalFormatting sqref="W7:W11">
    <cfRule type="expression" dxfId="635" priority="91" stopIfTrue="1">
      <formula>MOD(ROW(),2)=0</formula>
    </cfRule>
  </conditionalFormatting>
  <conditionalFormatting sqref="W7:W11">
    <cfRule type="expression" dxfId="634" priority="90" stopIfTrue="1">
      <formula>MOD(ROW(),2)=0</formula>
    </cfRule>
  </conditionalFormatting>
  <conditionalFormatting sqref="W26">
    <cfRule type="expression" dxfId="633" priority="89" stopIfTrue="1">
      <formula>MOD(ROW(),2)=0</formula>
    </cfRule>
  </conditionalFormatting>
  <conditionalFormatting sqref="W12">
    <cfRule type="expression" dxfId="632" priority="88" stopIfTrue="1">
      <formula>MOD(ROW(),2)=0</formula>
    </cfRule>
  </conditionalFormatting>
  <conditionalFormatting sqref="W12">
    <cfRule type="expression" dxfId="631" priority="87" stopIfTrue="1">
      <formula>MOD(ROW(),2)=0</formula>
    </cfRule>
  </conditionalFormatting>
  <conditionalFormatting sqref="W12">
    <cfRule type="expression" dxfId="630" priority="86" stopIfTrue="1">
      <formula>MOD(ROW(),2)=0</formula>
    </cfRule>
  </conditionalFormatting>
  <conditionalFormatting sqref="W28">
    <cfRule type="expression" dxfId="629" priority="85" stopIfTrue="1">
      <formula>MOD(ROW(),2)=0</formula>
    </cfRule>
  </conditionalFormatting>
  <conditionalFormatting sqref="W28">
    <cfRule type="expression" dxfId="628" priority="84" stopIfTrue="1">
      <formula>MOD(ROW(),2)=0</formula>
    </cfRule>
  </conditionalFormatting>
  <conditionalFormatting sqref="W28">
    <cfRule type="expression" dxfId="627" priority="83" stopIfTrue="1">
      <formula>MOD(ROW(),2)=0</formula>
    </cfRule>
  </conditionalFormatting>
  <conditionalFormatting sqref="W24">
    <cfRule type="expression" dxfId="626" priority="82" stopIfTrue="1">
      <formula>MOD(ROW(),2)=0</formula>
    </cfRule>
  </conditionalFormatting>
  <conditionalFormatting sqref="W24">
    <cfRule type="expression" dxfId="625" priority="81" stopIfTrue="1">
      <formula>MOD(ROW(),2)=0</formula>
    </cfRule>
  </conditionalFormatting>
  <conditionalFormatting sqref="W24">
    <cfRule type="expression" dxfId="624" priority="80" stopIfTrue="1">
      <formula>MOD(ROW(),2)=0</formula>
    </cfRule>
  </conditionalFormatting>
  <conditionalFormatting sqref="X13:X23 X25">
    <cfRule type="expression" dxfId="623" priority="79" stopIfTrue="1">
      <formula>MOD(ROW(),2)=0</formula>
    </cfRule>
  </conditionalFormatting>
  <conditionalFormatting sqref="X29">
    <cfRule type="expression" dxfId="622" priority="78" stopIfTrue="1">
      <formula>MOD(ROW(),2)=0</formula>
    </cfRule>
  </conditionalFormatting>
  <conditionalFormatting sqref="X27 X7:X11 X30:X42">
    <cfRule type="expression" dxfId="621" priority="77" stopIfTrue="1">
      <formula>MOD(ROW(),2)=0</formula>
    </cfRule>
  </conditionalFormatting>
  <conditionalFormatting sqref="X7:X11">
    <cfRule type="expression" dxfId="620" priority="76" stopIfTrue="1">
      <formula>MOD(ROW(),2)=0</formula>
    </cfRule>
  </conditionalFormatting>
  <conditionalFormatting sqref="X7:X11">
    <cfRule type="expression" dxfId="619" priority="75" stopIfTrue="1">
      <formula>MOD(ROW(),2)=0</formula>
    </cfRule>
  </conditionalFormatting>
  <conditionalFormatting sqref="X26">
    <cfRule type="expression" dxfId="618" priority="74" stopIfTrue="1">
      <formula>MOD(ROW(),2)=0</formula>
    </cfRule>
  </conditionalFormatting>
  <conditionalFormatting sqref="X12">
    <cfRule type="expression" dxfId="617" priority="73" stopIfTrue="1">
      <formula>MOD(ROW(),2)=0</formula>
    </cfRule>
  </conditionalFormatting>
  <conditionalFormatting sqref="X12">
    <cfRule type="expression" dxfId="616" priority="72" stopIfTrue="1">
      <formula>MOD(ROW(),2)=0</formula>
    </cfRule>
  </conditionalFormatting>
  <conditionalFormatting sqref="X12">
    <cfRule type="expression" dxfId="615" priority="71" stopIfTrue="1">
      <formula>MOD(ROW(),2)=0</formula>
    </cfRule>
  </conditionalFormatting>
  <conditionalFormatting sqref="X28">
    <cfRule type="expression" dxfId="614" priority="70" stopIfTrue="1">
      <formula>MOD(ROW(),2)=0</formula>
    </cfRule>
  </conditionalFormatting>
  <conditionalFormatting sqref="X28">
    <cfRule type="expression" dxfId="613" priority="69" stopIfTrue="1">
      <formula>MOD(ROW(),2)=0</formula>
    </cfRule>
  </conditionalFormatting>
  <conditionalFormatting sqref="X28">
    <cfRule type="expression" dxfId="612" priority="68" stopIfTrue="1">
      <formula>MOD(ROW(),2)=0</formula>
    </cfRule>
  </conditionalFormatting>
  <conditionalFormatting sqref="X24">
    <cfRule type="expression" dxfId="611" priority="67" stopIfTrue="1">
      <formula>MOD(ROW(),2)=0</formula>
    </cfRule>
  </conditionalFormatting>
  <conditionalFormatting sqref="X24">
    <cfRule type="expression" dxfId="610" priority="66" stopIfTrue="1">
      <formula>MOD(ROW(),2)=0</formula>
    </cfRule>
  </conditionalFormatting>
  <conditionalFormatting sqref="X24">
    <cfRule type="expression" dxfId="609" priority="65" stopIfTrue="1">
      <formula>MOD(ROW(),2)=0</formula>
    </cfRule>
  </conditionalFormatting>
  <conditionalFormatting sqref="Y13:Y23 Y25">
    <cfRule type="expression" dxfId="608" priority="49" stopIfTrue="1">
      <formula>MOD(ROW(),2)=0</formula>
    </cfRule>
  </conditionalFormatting>
  <conditionalFormatting sqref="Y29">
    <cfRule type="expression" dxfId="607" priority="48" stopIfTrue="1">
      <formula>MOD(ROW(),2)=0</formula>
    </cfRule>
  </conditionalFormatting>
  <conditionalFormatting sqref="Y27 Y7:Y11 Y30:Y42">
    <cfRule type="expression" dxfId="606" priority="47" stopIfTrue="1">
      <formula>MOD(ROW(),2)=0</formula>
    </cfRule>
  </conditionalFormatting>
  <conditionalFormatting sqref="Y7:Y11">
    <cfRule type="expression" dxfId="605" priority="46" stopIfTrue="1">
      <formula>MOD(ROW(),2)=0</formula>
    </cfRule>
  </conditionalFormatting>
  <conditionalFormatting sqref="Y7:Y11">
    <cfRule type="expression" dxfId="604" priority="45" stopIfTrue="1">
      <formula>MOD(ROW(),2)=0</formula>
    </cfRule>
  </conditionalFormatting>
  <conditionalFormatting sqref="Y26">
    <cfRule type="expression" dxfId="603" priority="44" stopIfTrue="1">
      <formula>MOD(ROW(),2)=0</formula>
    </cfRule>
  </conditionalFormatting>
  <conditionalFormatting sqref="Y12">
    <cfRule type="expression" dxfId="602" priority="43" stopIfTrue="1">
      <formula>MOD(ROW(),2)=0</formula>
    </cfRule>
  </conditionalFormatting>
  <conditionalFormatting sqref="Y12">
    <cfRule type="expression" dxfId="601" priority="42" stopIfTrue="1">
      <formula>MOD(ROW(),2)=0</formula>
    </cfRule>
  </conditionalFormatting>
  <conditionalFormatting sqref="Y12">
    <cfRule type="expression" dxfId="600" priority="41" stopIfTrue="1">
      <formula>MOD(ROW(),2)=0</formula>
    </cfRule>
  </conditionalFormatting>
  <conditionalFormatting sqref="Y28">
    <cfRule type="expression" dxfId="599" priority="40" stopIfTrue="1">
      <formula>MOD(ROW(),2)=0</formula>
    </cfRule>
  </conditionalFormatting>
  <conditionalFormatting sqref="Y28">
    <cfRule type="expression" dxfId="598" priority="39" stopIfTrue="1">
      <formula>MOD(ROW(),2)=0</formula>
    </cfRule>
  </conditionalFormatting>
  <conditionalFormatting sqref="Y28">
    <cfRule type="expression" dxfId="597" priority="38" stopIfTrue="1">
      <formula>MOD(ROW(),2)=0</formula>
    </cfRule>
  </conditionalFormatting>
  <conditionalFormatting sqref="Y24">
    <cfRule type="expression" dxfId="596" priority="37" stopIfTrue="1">
      <formula>MOD(ROW(),2)=0</formula>
    </cfRule>
  </conditionalFormatting>
  <conditionalFormatting sqref="Y24">
    <cfRule type="expression" dxfId="595" priority="36" stopIfTrue="1">
      <formula>MOD(ROW(),2)=0</formula>
    </cfRule>
  </conditionalFormatting>
  <conditionalFormatting sqref="Y24">
    <cfRule type="expression" dxfId="594" priority="35" stopIfTrue="1">
      <formula>MOD(ROW(),2)=0</formula>
    </cfRule>
  </conditionalFormatting>
  <conditionalFormatting sqref="Z13:AA23 Z25:AA25">
    <cfRule type="expression" dxfId="593" priority="34" stopIfTrue="1">
      <formula>MOD(ROW(),2)=0</formula>
    </cfRule>
  </conditionalFormatting>
  <conditionalFormatting sqref="Z29:AA29">
    <cfRule type="expression" dxfId="592" priority="33" stopIfTrue="1">
      <formula>MOD(ROW(),2)=0</formula>
    </cfRule>
  </conditionalFormatting>
  <conditionalFormatting sqref="Z27:AA27 Z7:AA11 Z30:AA42">
    <cfRule type="expression" dxfId="591" priority="32" stopIfTrue="1">
      <formula>MOD(ROW(),2)=0</formula>
    </cfRule>
  </conditionalFormatting>
  <conditionalFormatting sqref="Z7:Z11">
    <cfRule type="expression" dxfId="590" priority="31" stopIfTrue="1">
      <formula>MOD(ROW(),2)=0</formula>
    </cfRule>
  </conditionalFormatting>
  <conditionalFormatting sqref="Z7:Z11">
    <cfRule type="expression" dxfId="589" priority="30" stopIfTrue="1">
      <formula>MOD(ROW(),2)=0</formula>
    </cfRule>
  </conditionalFormatting>
  <conditionalFormatting sqref="Z26:AA26">
    <cfRule type="expression" dxfId="588" priority="29" stopIfTrue="1">
      <formula>MOD(ROW(),2)=0</formula>
    </cfRule>
  </conditionalFormatting>
  <conditionalFormatting sqref="Z12:AA12">
    <cfRule type="expression" dxfId="587" priority="28" stopIfTrue="1">
      <formula>MOD(ROW(),2)=0</formula>
    </cfRule>
  </conditionalFormatting>
  <conditionalFormatting sqref="Z12:AA12">
    <cfRule type="expression" dxfId="586" priority="27" stopIfTrue="1">
      <formula>MOD(ROW(),2)=0</formula>
    </cfRule>
  </conditionalFormatting>
  <conditionalFormatting sqref="Z12:AA12">
    <cfRule type="expression" dxfId="585" priority="26" stopIfTrue="1">
      <formula>MOD(ROW(),2)=0</formula>
    </cfRule>
  </conditionalFormatting>
  <conditionalFormatting sqref="Z28:AA28">
    <cfRule type="expression" dxfId="584" priority="25" stopIfTrue="1">
      <formula>MOD(ROW(),2)=0</formula>
    </cfRule>
  </conditionalFormatting>
  <conditionalFormatting sqref="Z28:AA28">
    <cfRule type="expression" dxfId="583" priority="24" stopIfTrue="1">
      <formula>MOD(ROW(),2)=0</formula>
    </cfRule>
  </conditionalFormatting>
  <conditionalFormatting sqref="Z28:AA28">
    <cfRule type="expression" dxfId="582" priority="23" stopIfTrue="1">
      <formula>MOD(ROW(),2)=0</formula>
    </cfRule>
  </conditionalFormatting>
  <conditionalFormatting sqref="Z24:AA24">
    <cfRule type="expression" dxfId="581" priority="22" stopIfTrue="1">
      <formula>MOD(ROW(),2)=0</formula>
    </cfRule>
  </conditionalFormatting>
  <conditionalFormatting sqref="Z24:AA24">
    <cfRule type="expression" dxfId="580" priority="21" stopIfTrue="1">
      <formula>MOD(ROW(),2)=0</formula>
    </cfRule>
  </conditionalFormatting>
  <conditionalFormatting sqref="Z24:AA24">
    <cfRule type="expression" dxfId="579" priority="20" stopIfTrue="1">
      <formula>MOD(ROW(),2)=0</formula>
    </cfRule>
  </conditionalFormatting>
  <conditionalFormatting sqref="AA7:AA11">
    <cfRule type="expression" dxfId="578" priority="19" stopIfTrue="1">
      <formula>MOD(ROW(),2)=0</formula>
    </cfRule>
  </conditionalFormatting>
  <conditionalFormatting sqref="AA7:AA11">
    <cfRule type="expression" dxfId="577" priority="18" stopIfTrue="1">
      <formula>MOD(ROW(),2)=0</formula>
    </cfRule>
  </conditionalFormatting>
  <conditionalFormatting sqref="AB25:AC25 AB13:AC23">
    <cfRule type="expression" dxfId="576" priority="17" stopIfTrue="1">
      <formula>MOD(ROW(),2)=0</formula>
    </cfRule>
  </conditionalFormatting>
  <conditionalFormatting sqref="AB29:AC29">
    <cfRule type="expression" dxfId="575" priority="16" stopIfTrue="1">
      <formula>MOD(ROW(),2)=0</formula>
    </cfRule>
  </conditionalFormatting>
  <conditionalFormatting sqref="AB7:AC11 AB30:AC42 AB27:AC27">
    <cfRule type="expression" dxfId="574" priority="15" stopIfTrue="1">
      <formula>MOD(ROW(),2)=0</formula>
    </cfRule>
  </conditionalFormatting>
  <conditionalFormatting sqref="AB26:AC26">
    <cfRule type="expression" dxfId="573" priority="14" stopIfTrue="1">
      <formula>MOD(ROW(),2)=0</formula>
    </cfRule>
  </conditionalFormatting>
  <conditionalFormatting sqref="AB12:AC12">
    <cfRule type="expression" dxfId="572" priority="13" stopIfTrue="1">
      <formula>MOD(ROW(),2)=0</formula>
    </cfRule>
  </conditionalFormatting>
  <conditionalFormatting sqref="AB12:AC12">
    <cfRule type="expression" dxfId="571" priority="12" stopIfTrue="1">
      <formula>MOD(ROW(),2)=0</formula>
    </cfRule>
  </conditionalFormatting>
  <conditionalFormatting sqref="AB12:AC12">
    <cfRule type="expression" dxfId="570" priority="11" stopIfTrue="1">
      <formula>MOD(ROW(),2)=0</formula>
    </cfRule>
  </conditionalFormatting>
  <conditionalFormatting sqref="AB28:AC28">
    <cfRule type="expression" dxfId="569" priority="10" stopIfTrue="1">
      <formula>MOD(ROW(),2)=0</formula>
    </cfRule>
  </conditionalFormatting>
  <conditionalFormatting sqref="AB28:AC28">
    <cfRule type="expression" dxfId="568" priority="9" stopIfTrue="1">
      <formula>MOD(ROW(),2)=0</formula>
    </cfRule>
  </conditionalFormatting>
  <conditionalFormatting sqref="AB28:AC28">
    <cfRule type="expression" dxfId="567" priority="8" stopIfTrue="1">
      <formula>MOD(ROW(),2)=0</formula>
    </cfRule>
  </conditionalFormatting>
  <conditionalFormatting sqref="AB24:AC24">
    <cfRule type="expression" dxfId="566" priority="7" stopIfTrue="1">
      <formula>MOD(ROW(),2)=0</formula>
    </cfRule>
  </conditionalFormatting>
  <conditionalFormatting sqref="AB24:AC24">
    <cfRule type="expression" dxfId="565" priority="6" stopIfTrue="1">
      <formula>MOD(ROW(),2)=0</formula>
    </cfRule>
  </conditionalFormatting>
  <conditionalFormatting sqref="AB24:AC24">
    <cfRule type="expression" dxfId="564" priority="5" stopIfTrue="1">
      <formula>MOD(ROW(),2)=0</formula>
    </cfRule>
  </conditionalFormatting>
  <conditionalFormatting sqref="AB7:AB11">
    <cfRule type="expression" dxfId="563" priority="4" stopIfTrue="1">
      <formula>MOD(ROW(),2)=0</formula>
    </cfRule>
  </conditionalFormatting>
  <conditionalFormatting sqref="AB7:AB11">
    <cfRule type="expression" dxfId="562" priority="3" stopIfTrue="1">
      <formula>MOD(ROW(),2)=0</formula>
    </cfRule>
  </conditionalFormatting>
  <conditionalFormatting sqref="AC7:AC11">
    <cfRule type="expression" dxfId="561" priority="2" stopIfTrue="1">
      <formula>MOD(ROW(),2)=0</formula>
    </cfRule>
  </conditionalFormatting>
  <conditionalFormatting sqref="AC7:AC11">
    <cfRule type="expression" dxfId="560" priority="1" stopIfTrue="1">
      <formula>MOD(ROW(),2)=0</formula>
    </cfRule>
  </conditionalFormatting>
  <pageMargins left="0.7" right="0.7" top="0.75" bottom="0.75" header="0.3" footer="0.3"/>
  <pageSetup scale="71" orientation="landscape" horizont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B522-1A34-419D-A127-3FAA7D51EDF3}">
  <sheetPr>
    <tabColor theme="9" tint="0.59999389629810485"/>
    <pageSetUpPr fitToPage="1"/>
  </sheetPr>
  <dimension ref="A1:AS70"/>
  <sheetViews>
    <sheetView showGridLines="0" zoomScaleNormal="100" workbookViewId="0">
      <pane xSplit="1" ySplit="5" topLeftCell="Q52" activePane="bottomRight" state="frozen"/>
      <selection activeCell="AB28" sqref="AB28"/>
      <selection pane="topRight" activeCell="AB28" sqref="AB28"/>
      <selection pane="bottomLeft" activeCell="AB28" sqref="AB28"/>
      <selection pane="bottomRight" activeCell="AB28" sqref="AB28"/>
    </sheetView>
  </sheetViews>
  <sheetFormatPr defaultColWidth="9.28515625" defaultRowHeight="12.75" outlineLevelCol="1" x14ac:dyDescent="0.2"/>
  <cols>
    <col min="1" max="1" width="59.140625" style="2" customWidth="1"/>
    <col min="2" max="26" width="13.7109375" style="2" hidden="1" customWidth="1" outlineLevel="1"/>
    <col min="27" max="27" width="13.7109375" style="2" customWidth="1" collapsed="1"/>
    <col min="28" max="36" width="13.7109375" style="2" customWidth="1"/>
    <col min="37" max="16384" width="9.28515625" style="2"/>
  </cols>
  <sheetData>
    <row r="1" spans="1:36" x14ac:dyDescent="0.2">
      <c r="A1" s="31" t="s">
        <v>73</v>
      </c>
      <c r="K1" s="2" t="s">
        <v>98</v>
      </c>
    </row>
    <row r="2" spans="1:36" x14ac:dyDescent="0.2">
      <c r="A2" s="31" t="s">
        <v>120</v>
      </c>
    </row>
    <row r="3" spans="1:36" x14ac:dyDescent="0.2">
      <c r="A3" s="17" t="s">
        <v>132</v>
      </c>
    </row>
    <row r="4" spans="1:36" x14ac:dyDescent="0.2">
      <c r="A4" s="2" t="s">
        <v>130</v>
      </c>
    </row>
    <row r="5" spans="1:36" s="16" customFormat="1" x14ac:dyDescent="0.2">
      <c r="B5" s="45" t="s">
        <v>61</v>
      </c>
      <c r="C5" s="45" t="s">
        <v>62</v>
      </c>
      <c r="D5" s="45" t="s">
        <v>63</v>
      </c>
      <c r="E5" s="45" t="s">
        <v>64</v>
      </c>
      <c r="F5" s="39">
        <v>2016</v>
      </c>
      <c r="G5" s="45" t="s">
        <v>72</v>
      </c>
      <c r="H5" s="45" t="s">
        <v>71</v>
      </c>
      <c r="I5" s="45" t="s">
        <v>70</v>
      </c>
      <c r="J5" s="45" t="s">
        <v>69</v>
      </c>
      <c r="K5" s="39">
        <v>2017</v>
      </c>
      <c r="L5" s="45" t="s">
        <v>68</v>
      </c>
      <c r="M5" s="45" t="s">
        <v>67</v>
      </c>
      <c r="N5" s="45" t="s">
        <v>66</v>
      </c>
      <c r="O5" s="45" t="s">
        <v>65</v>
      </c>
      <c r="P5" s="39">
        <v>2018</v>
      </c>
      <c r="Q5" s="45" t="s">
        <v>138</v>
      </c>
      <c r="R5" s="45" t="s">
        <v>150</v>
      </c>
      <c r="S5" s="45" t="s">
        <v>153</v>
      </c>
      <c r="T5" s="45" t="s">
        <v>154</v>
      </c>
      <c r="U5" s="39">
        <v>2019</v>
      </c>
      <c r="V5" s="45" t="s">
        <v>155</v>
      </c>
      <c r="W5" s="45" t="s">
        <v>158</v>
      </c>
      <c r="X5" s="45" t="s">
        <v>159</v>
      </c>
      <c r="Y5" s="45" t="s">
        <v>162</v>
      </c>
      <c r="Z5" s="39">
        <v>2020</v>
      </c>
      <c r="AA5" s="45" t="s">
        <v>176</v>
      </c>
      <c r="AB5" s="45" t="s">
        <v>179</v>
      </c>
      <c r="AC5" s="45" t="s">
        <v>180</v>
      </c>
      <c r="AD5" s="45" t="s">
        <v>182</v>
      </c>
      <c r="AE5" s="39">
        <v>2021</v>
      </c>
      <c r="AF5" s="45" t="s">
        <v>186</v>
      </c>
      <c r="AG5" s="45" t="s">
        <v>193</v>
      </c>
      <c r="AH5" s="45" t="s">
        <v>199</v>
      </c>
      <c r="AI5" s="45" t="s">
        <v>205</v>
      </c>
      <c r="AJ5" s="39">
        <v>2022</v>
      </c>
    </row>
    <row r="6" spans="1:36" x14ac:dyDescent="0.2">
      <c r="A6" s="32" t="s">
        <v>39</v>
      </c>
      <c r="B6" s="3"/>
      <c r="C6" s="3"/>
      <c r="D6" s="3"/>
      <c r="E6" s="3"/>
      <c r="F6" s="20"/>
      <c r="G6" s="3"/>
      <c r="H6" s="3"/>
      <c r="I6" s="3"/>
      <c r="J6" s="3"/>
      <c r="K6" s="20"/>
      <c r="L6" s="3"/>
      <c r="M6" s="3"/>
      <c r="N6" s="3"/>
      <c r="O6" s="3"/>
      <c r="P6" s="20"/>
      <c r="Q6" s="3"/>
      <c r="R6" s="3"/>
      <c r="S6" s="3"/>
      <c r="T6" s="3"/>
      <c r="U6" s="20"/>
      <c r="V6" s="3"/>
      <c r="W6" s="3"/>
      <c r="X6" s="3"/>
      <c r="Y6" s="3"/>
      <c r="Z6" s="20"/>
      <c r="AA6" s="3"/>
      <c r="AB6" s="3"/>
      <c r="AC6" s="3"/>
      <c r="AD6" s="3"/>
      <c r="AE6" s="20"/>
      <c r="AF6" s="3"/>
      <c r="AG6" s="3"/>
      <c r="AH6" s="3"/>
      <c r="AI6" s="3"/>
      <c r="AJ6" s="20"/>
    </row>
    <row r="7" spans="1:36" x14ac:dyDescent="0.2">
      <c r="A7" s="4" t="s">
        <v>125</v>
      </c>
      <c r="B7" s="11">
        <f>'Income Statements'!B27</f>
        <v>157</v>
      </c>
      <c r="C7" s="11">
        <f>'Income Statements'!C27</f>
        <v>-31238</v>
      </c>
      <c r="D7" s="11">
        <f>'Income Statements'!D27</f>
        <v>27646</v>
      </c>
      <c r="E7" s="11">
        <f>'Income Statements'!E27</f>
        <v>14373</v>
      </c>
      <c r="F7" s="26">
        <f>SUM(B7:E7)</f>
        <v>10938</v>
      </c>
      <c r="G7" s="11">
        <f>'Income Statements'!G27</f>
        <v>16921</v>
      </c>
      <c r="H7" s="11">
        <f>'Income Statements'!H27</f>
        <v>24244</v>
      </c>
      <c r="I7" s="11">
        <f>'Income Statements'!I27</f>
        <v>33700</v>
      </c>
      <c r="J7" s="11">
        <f>'Income Statements'!J27</f>
        <v>11588</v>
      </c>
      <c r="K7" s="26">
        <f>SUM(G7:J7)</f>
        <v>86453</v>
      </c>
      <c r="L7" s="11">
        <f>'Income Statements'!L27</f>
        <v>14597</v>
      </c>
      <c r="M7" s="11">
        <f>'Income Statements'!M27</f>
        <v>46148</v>
      </c>
      <c r="N7" s="11">
        <f>'Income Statements'!N27</f>
        <v>60336</v>
      </c>
      <c r="O7" s="11">
        <f>122880-121081</f>
        <v>1799</v>
      </c>
      <c r="P7" s="26">
        <f>SUM(L7:O7)</f>
        <v>122880</v>
      </c>
      <c r="Q7" s="11">
        <f>'Income Statements'!Q27</f>
        <v>6560</v>
      </c>
      <c r="R7" s="11">
        <f>'Income Statements'!R27</f>
        <v>17137</v>
      </c>
      <c r="S7" s="11">
        <f>'Income Statements'!S27</f>
        <v>20565</v>
      </c>
      <c r="T7" s="11">
        <f>'Income Statements'!T27</f>
        <v>11399</v>
      </c>
      <c r="U7" s="26">
        <f>SUM(Q7:T7)</f>
        <v>55661</v>
      </c>
      <c r="V7" s="11">
        <f>'Income Statements'!V27</f>
        <v>-16832</v>
      </c>
      <c r="W7" s="11">
        <f>'Income Statements'!W27</f>
        <v>2638</v>
      </c>
      <c r="X7" s="11">
        <f>'Income Statements'!X27</f>
        <v>81007</v>
      </c>
      <c r="Y7" s="11">
        <f>'Income Statements'!Y27</f>
        <v>100017</v>
      </c>
      <c r="Z7" s="26">
        <f>SUM(V7:Y7)</f>
        <v>166830</v>
      </c>
      <c r="AA7" s="11">
        <f>'Income Statements'!AA27</f>
        <v>131106</v>
      </c>
      <c r="AB7" s="11">
        <f>'Income Statements'!AB27</f>
        <v>187905</v>
      </c>
      <c r="AC7" s="11">
        <f>'Income Statements'!AC27</f>
        <v>65667</v>
      </c>
      <c r="AD7" s="11">
        <f>'Income Statements'!AD27</f>
        <v>39182</v>
      </c>
      <c r="AE7" s="26">
        <f>SUM(AA7:AD7)</f>
        <v>423860</v>
      </c>
      <c r="AF7" s="11">
        <f>'Income Statements'!AF27</f>
        <v>163880</v>
      </c>
      <c r="AG7" s="11">
        <v>120222</v>
      </c>
      <c r="AH7" s="11">
        <v>45955</v>
      </c>
      <c r="AI7" s="11">
        <f>333900-330057</f>
        <v>3843</v>
      </c>
      <c r="AJ7" s="26">
        <f>SUM(AF7:AI7)</f>
        <v>333900</v>
      </c>
    </row>
    <row r="8" spans="1:36" ht="25.5" x14ac:dyDescent="0.2">
      <c r="A8" s="33" t="s">
        <v>128</v>
      </c>
      <c r="B8" s="3"/>
      <c r="C8" s="3"/>
      <c r="D8" s="3"/>
      <c r="E8" s="3"/>
      <c r="F8" s="20"/>
      <c r="G8" s="3"/>
      <c r="H8" s="3"/>
      <c r="I8" s="3"/>
      <c r="J8" s="3"/>
      <c r="K8" s="20"/>
      <c r="L8" s="3"/>
      <c r="M8" s="3"/>
      <c r="N8" s="3"/>
      <c r="O8" s="3"/>
      <c r="P8" s="20"/>
      <c r="Q8" s="3"/>
      <c r="R8" s="3"/>
      <c r="S8" s="3"/>
      <c r="T8" s="3"/>
      <c r="U8" s="20"/>
      <c r="V8" s="3"/>
      <c r="W8" s="3"/>
      <c r="X8" s="3"/>
      <c r="Y8" s="3"/>
      <c r="Z8" s="20"/>
      <c r="AA8" s="3"/>
      <c r="AB8" s="3"/>
      <c r="AC8" s="3"/>
      <c r="AD8" s="3"/>
      <c r="AE8" s="20"/>
      <c r="AF8" s="3"/>
      <c r="AG8" s="3"/>
      <c r="AH8" s="3"/>
      <c r="AI8" s="3"/>
      <c r="AJ8" s="20"/>
    </row>
    <row r="9" spans="1:36" x14ac:dyDescent="0.2">
      <c r="A9" s="34" t="s">
        <v>40</v>
      </c>
      <c r="B9" s="5">
        <v>8605</v>
      </c>
      <c r="C9" s="5">
        <v>7869</v>
      </c>
      <c r="D9" s="5">
        <v>9249</v>
      </c>
      <c r="E9" s="5">
        <f>34190-25723</f>
        <v>8467</v>
      </c>
      <c r="F9" s="21">
        <f t="shared" ref="F9:F22" si="0">SUM(B9:E9)</f>
        <v>34190</v>
      </c>
      <c r="G9" s="5">
        <v>6702</v>
      </c>
      <c r="H9" s="5">
        <v>6641</v>
      </c>
      <c r="I9" s="5">
        <v>8565</v>
      </c>
      <c r="J9" s="5">
        <v>8004</v>
      </c>
      <c r="K9" s="21">
        <f t="shared" ref="K9:K22" si="1">SUM(G9:J9)</f>
        <v>29912</v>
      </c>
      <c r="L9" s="5">
        <v>12635</v>
      </c>
      <c r="M9" s="5">
        <v>21605</v>
      </c>
      <c r="N9" s="5">
        <v>19445</v>
      </c>
      <c r="O9" s="5">
        <f>73161-53685</f>
        <v>19476</v>
      </c>
      <c r="P9" s="21">
        <f t="shared" ref="P9:P22" si="2">SUM(L9:O9)</f>
        <v>73161</v>
      </c>
      <c r="Q9" s="5">
        <v>16274</v>
      </c>
      <c r="R9" s="5">
        <v>17137</v>
      </c>
      <c r="S9" s="5">
        <v>19178</v>
      </c>
      <c r="T9" s="5">
        <v>19516</v>
      </c>
      <c r="U9" s="21">
        <f t="shared" ref="U9:U22" si="3">SUM(Q9:T9)</f>
        <v>72105</v>
      </c>
      <c r="V9" s="5">
        <v>19044</v>
      </c>
      <c r="W9" s="5">
        <v>18171</v>
      </c>
      <c r="X9" s="5">
        <v>20594</v>
      </c>
      <c r="Y9" s="5">
        <v>20076</v>
      </c>
      <c r="Z9" s="21">
        <f t="shared" ref="Z9:Z22" si="4">SUM(V9:Y9)</f>
        <v>77885</v>
      </c>
      <c r="AA9" s="5">
        <v>18399</v>
      </c>
      <c r="AB9" s="5">
        <v>17432</v>
      </c>
      <c r="AC9" s="5">
        <v>21534</v>
      </c>
      <c r="AD9" s="5">
        <v>20060</v>
      </c>
      <c r="AE9" s="21">
        <f t="shared" ref="AE9:AE22" si="5">SUM(AA9:AD9)</f>
        <v>77425</v>
      </c>
      <c r="AF9" s="5">
        <v>19874</v>
      </c>
      <c r="AG9" s="5">
        <v>20379</v>
      </c>
      <c r="AH9" s="5">
        <v>27707</v>
      </c>
      <c r="AI9" s="5">
        <f>98234-67960</f>
        <v>30274</v>
      </c>
      <c r="AJ9" s="21">
        <f t="shared" ref="AJ9:AJ23" si="6">SUM(AF9:AI9)</f>
        <v>98234</v>
      </c>
    </row>
    <row r="10" spans="1:36" x14ac:dyDescent="0.2">
      <c r="A10" s="34" t="s">
        <v>41</v>
      </c>
      <c r="B10" s="5">
        <v>2034</v>
      </c>
      <c r="C10" s="5">
        <v>3387</v>
      </c>
      <c r="D10" s="5">
        <v>1265</v>
      </c>
      <c r="E10" s="5">
        <f>8011-6686</f>
        <v>1325</v>
      </c>
      <c r="F10" s="21">
        <f t="shared" si="0"/>
        <v>8011</v>
      </c>
      <c r="G10" s="5">
        <v>4790</v>
      </c>
      <c r="H10" s="5">
        <v>982</v>
      </c>
      <c r="I10" s="5">
        <v>579</v>
      </c>
      <c r="J10" s="5">
        <v>476</v>
      </c>
      <c r="K10" s="21">
        <f t="shared" si="1"/>
        <v>6827</v>
      </c>
      <c r="L10" s="5">
        <v>3605</v>
      </c>
      <c r="M10" s="5">
        <v>2820</v>
      </c>
      <c r="N10" s="5">
        <v>4248</v>
      </c>
      <c r="O10" s="5">
        <f>16697-10673+1</f>
        <v>6025</v>
      </c>
      <c r="P10" s="21">
        <f t="shared" si="2"/>
        <v>16698</v>
      </c>
      <c r="Q10" s="5">
        <v>1556</v>
      </c>
      <c r="R10" s="5">
        <v>7427</v>
      </c>
      <c r="S10" s="5">
        <v>5228</v>
      </c>
      <c r="T10" s="5">
        <v>6343</v>
      </c>
      <c r="U10" s="21">
        <f t="shared" si="3"/>
        <v>20554</v>
      </c>
      <c r="V10" s="5">
        <v>6498</v>
      </c>
      <c r="W10" s="5">
        <v>2693</v>
      </c>
      <c r="X10" s="5">
        <v>5249</v>
      </c>
      <c r="Y10" s="5">
        <v>10908</v>
      </c>
      <c r="Z10" s="21">
        <f t="shared" si="4"/>
        <v>25348</v>
      </c>
      <c r="AA10" s="5">
        <v>8823</v>
      </c>
      <c r="AB10" s="5">
        <v>7213</v>
      </c>
      <c r="AC10" s="5">
        <v>6697</v>
      </c>
      <c r="AD10" s="5">
        <v>4627</v>
      </c>
      <c r="AE10" s="21">
        <f t="shared" si="5"/>
        <v>27360</v>
      </c>
      <c r="AF10" s="5">
        <v>10854</v>
      </c>
      <c r="AG10" s="5">
        <v>7325</v>
      </c>
      <c r="AH10" s="5">
        <v>6845</v>
      </c>
      <c r="AI10" s="5">
        <f>29921-25024</f>
        <v>4897</v>
      </c>
      <c r="AJ10" s="21">
        <f t="shared" si="6"/>
        <v>29921</v>
      </c>
    </row>
    <row r="11" spans="1:36" x14ac:dyDescent="0.2">
      <c r="A11" s="34" t="s">
        <v>139</v>
      </c>
      <c r="B11" s="5">
        <v>0</v>
      </c>
      <c r="C11" s="5">
        <v>0</v>
      </c>
      <c r="D11" s="5">
        <v>0</v>
      </c>
      <c r="E11" s="5">
        <v>0</v>
      </c>
      <c r="F11" s="21">
        <f t="shared" ref="F11" si="7">SUM(B11:E11)</f>
        <v>0</v>
      </c>
      <c r="G11" s="5">
        <v>0</v>
      </c>
      <c r="H11" s="5">
        <v>0</v>
      </c>
      <c r="I11" s="5">
        <v>0</v>
      </c>
      <c r="J11" s="5">
        <v>0</v>
      </c>
      <c r="K11" s="21">
        <f t="shared" ref="K11" si="8">SUM(G11:J11)</f>
        <v>0</v>
      </c>
      <c r="L11" s="5">
        <v>0</v>
      </c>
      <c r="M11" s="5">
        <v>0</v>
      </c>
      <c r="N11" s="5">
        <v>0</v>
      </c>
      <c r="O11" s="5">
        <v>0</v>
      </c>
      <c r="P11" s="21">
        <f t="shared" ref="P11" si="9">SUM(L11:O11)</f>
        <v>0</v>
      </c>
      <c r="Q11" s="5">
        <v>-9176</v>
      </c>
      <c r="R11" s="5">
        <v>0</v>
      </c>
      <c r="S11" s="5">
        <v>0</v>
      </c>
      <c r="T11" s="5">
        <v>0</v>
      </c>
      <c r="U11" s="21">
        <f t="shared" si="3"/>
        <v>-9176</v>
      </c>
      <c r="V11" s="5">
        <v>0</v>
      </c>
      <c r="W11" s="5">
        <v>0</v>
      </c>
      <c r="X11" s="5">
        <v>0</v>
      </c>
      <c r="Y11" s="5">
        <v>0</v>
      </c>
      <c r="Z11" s="21">
        <f t="shared" si="4"/>
        <v>0</v>
      </c>
      <c r="AA11" s="5">
        <v>0</v>
      </c>
      <c r="AB11" s="5">
        <v>0</v>
      </c>
      <c r="AC11" s="5">
        <v>0</v>
      </c>
      <c r="AD11" s="5">
        <v>0</v>
      </c>
      <c r="AE11" s="21">
        <f t="shared" si="5"/>
        <v>0</v>
      </c>
      <c r="AF11" s="5">
        <v>0</v>
      </c>
      <c r="AG11" s="5">
        <v>0</v>
      </c>
      <c r="AH11" s="5">
        <v>0</v>
      </c>
      <c r="AI11" s="5">
        <v>0</v>
      </c>
      <c r="AJ11" s="21">
        <f t="shared" si="6"/>
        <v>0</v>
      </c>
    </row>
    <row r="12" spans="1:36" x14ac:dyDescent="0.2">
      <c r="A12" s="34" t="s">
        <v>141</v>
      </c>
      <c r="B12" s="5">
        <v>0</v>
      </c>
      <c r="C12" s="5">
        <v>0</v>
      </c>
      <c r="D12" s="5">
        <v>0</v>
      </c>
      <c r="E12" s="5">
        <v>0</v>
      </c>
      <c r="F12" s="21">
        <f t="shared" ref="F12" si="10">SUM(B12:E12)</f>
        <v>0</v>
      </c>
      <c r="G12" s="5">
        <v>0</v>
      </c>
      <c r="H12" s="5">
        <v>0</v>
      </c>
      <c r="I12" s="5">
        <v>0</v>
      </c>
      <c r="J12" s="5">
        <v>0</v>
      </c>
      <c r="K12" s="21">
        <f t="shared" ref="K12" si="11">SUM(G12:J12)</f>
        <v>0</v>
      </c>
      <c r="L12" s="5">
        <v>0</v>
      </c>
      <c r="M12" s="5">
        <v>0</v>
      </c>
      <c r="N12" s="5">
        <v>0</v>
      </c>
      <c r="O12" s="5">
        <v>0</v>
      </c>
      <c r="P12" s="21">
        <f t="shared" ref="P12" si="12">SUM(L12:O12)</f>
        <v>0</v>
      </c>
      <c r="Q12" s="5">
        <v>5512</v>
      </c>
      <c r="R12" s="5">
        <v>0</v>
      </c>
      <c r="S12" s="5">
        <v>0</v>
      </c>
      <c r="T12" s="5">
        <v>0</v>
      </c>
      <c r="U12" s="21">
        <f t="shared" si="3"/>
        <v>5512</v>
      </c>
      <c r="V12" s="5">
        <v>0</v>
      </c>
      <c r="W12" s="5">
        <v>0</v>
      </c>
      <c r="X12" s="5">
        <v>0</v>
      </c>
      <c r="Y12" s="5">
        <v>0</v>
      </c>
      <c r="Z12" s="21">
        <f t="shared" si="4"/>
        <v>0</v>
      </c>
      <c r="AA12" s="5">
        <v>0</v>
      </c>
      <c r="AB12" s="5">
        <v>0</v>
      </c>
      <c r="AC12" s="5">
        <v>0</v>
      </c>
      <c r="AD12" s="5">
        <v>0</v>
      </c>
      <c r="AE12" s="21">
        <f t="shared" si="5"/>
        <v>0</v>
      </c>
      <c r="AF12" s="5">
        <v>0</v>
      </c>
      <c r="AG12" s="5">
        <v>0</v>
      </c>
      <c r="AH12" s="5">
        <v>0</v>
      </c>
      <c r="AI12" s="5">
        <v>0</v>
      </c>
      <c r="AJ12" s="21">
        <f t="shared" si="6"/>
        <v>0</v>
      </c>
    </row>
    <row r="13" spans="1:36" x14ac:dyDescent="0.2">
      <c r="A13" s="34" t="s">
        <v>42</v>
      </c>
      <c r="B13" s="5">
        <v>-1110</v>
      </c>
      <c r="C13" s="5">
        <v>-5674</v>
      </c>
      <c r="D13" s="5">
        <v>8159</v>
      </c>
      <c r="E13" s="5">
        <f>1853-1375</f>
        <v>478</v>
      </c>
      <c r="F13" s="21">
        <f t="shared" si="0"/>
        <v>1853</v>
      </c>
      <c r="G13" s="5">
        <v>-351</v>
      </c>
      <c r="H13" s="5">
        <v>1595</v>
      </c>
      <c r="I13" s="5">
        <v>-2169</v>
      </c>
      <c r="J13" s="5">
        <v>16289</v>
      </c>
      <c r="K13" s="21">
        <f t="shared" si="1"/>
        <v>15364</v>
      </c>
      <c r="L13" s="5">
        <v>-1058</v>
      </c>
      <c r="M13" s="5">
        <v>3856</v>
      </c>
      <c r="N13" s="5">
        <v>11081</v>
      </c>
      <c r="O13" s="5">
        <f>12161-13879</f>
        <v>-1718</v>
      </c>
      <c r="P13" s="21">
        <f t="shared" si="2"/>
        <v>12161</v>
      </c>
      <c r="Q13" s="5">
        <v>-16099</v>
      </c>
      <c r="R13" s="5">
        <v>-1139</v>
      </c>
      <c r="S13" s="5">
        <v>295</v>
      </c>
      <c r="T13" s="5">
        <v>5898</v>
      </c>
      <c r="U13" s="21">
        <f t="shared" si="3"/>
        <v>-11045</v>
      </c>
      <c r="V13" s="5">
        <v>-12383</v>
      </c>
      <c r="W13" s="5">
        <v>-1466</v>
      </c>
      <c r="X13" s="5">
        <v>-538</v>
      </c>
      <c r="Y13" s="5">
        <v>-223</v>
      </c>
      <c r="Z13" s="21">
        <f t="shared" si="4"/>
        <v>-14610</v>
      </c>
      <c r="AA13" s="5">
        <v>1490</v>
      </c>
      <c r="AB13" s="5">
        <v>-928</v>
      </c>
      <c r="AC13" s="5">
        <v>2659</v>
      </c>
      <c r="AD13" s="5">
        <v>-3196</v>
      </c>
      <c r="AE13" s="21">
        <f t="shared" si="5"/>
        <v>25</v>
      </c>
      <c r="AF13" s="5">
        <v>-2123</v>
      </c>
      <c r="AG13" s="5">
        <v>34</v>
      </c>
      <c r="AH13" s="5">
        <v>730</v>
      </c>
      <c r="AI13" s="5">
        <f>-5257+1359</f>
        <v>-3898</v>
      </c>
      <c r="AJ13" s="21">
        <f t="shared" si="6"/>
        <v>-5257</v>
      </c>
    </row>
    <row r="14" spans="1:36" x14ac:dyDescent="0.2">
      <c r="A14" s="34" t="s">
        <v>31</v>
      </c>
      <c r="B14" s="5">
        <v>3609</v>
      </c>
      <c r="C14" s="5">
        <v>4222</v>
      </c>
      <c r="D14" s="5">
        <v>3915</v>
      </c>
      <c r="E14" s="5">
        <v>3915</v>
      </c>
      <c r="F14" s="21">
        <f t="shared" si="0"/>
        <v>15661</v>
      </c>
      <c r="G14" s="5">
        <v>3771</v>
      </c>
      <c r="H14" s="5">
        <v>2804</v>
      </c>
      <c r="I14" s="5">
        <v>3288</v>
      </c>
      <c r="J14" s="5">
        <v>3288</v>
      </c>
      <c r="K14" s="21">
        <f t="shared" si="1"/>
        <v>13151</v>
      </c>
      <c r="L14" s="5">
        <v>3814</v>
      </c>
      <c r="M14" s="5">
        <v>4185</v>
      </c>
      <c r="N14" s="5">
        <v>4222</v>
      </c>
      <c r="O14" s="5">
        <f>16443-12221</f>
        <v>4222</v>
      </c>
      <c r="P14" s="21">
        <f t="shared" si="2"/>
        <v>16443</v>
      </c>
      <c r="Q14" s="5">
        <v>3106</v>
      </c>
      <c r="R14" s="5">
        <v>2831</v>
      </c>
      <c r="S14" s="5">
        <v>2970</v>
      </c>
      <c r="T14" s="5">
        <v>2970</v>
      </c>
      <c r="U14" s="21">
        <f t="shared" si="3"/>
        <v>11877</v>
      </c>
      <c r="V14" s="5">
        <v>6068</v>
      </c>
      <c r="W14" s="5">
        <v>5765</v>
      </c>
      <c r="X14" s="5">
        <v>5917</v>
      </c>
      <c r="Y14" s="5">
        <v>5916</v>
      </c>
      <c r="Z14" s="21">
        <f t="shared" si="4"/>
        <v>23666</v>
      </c>
      <c r="AA14" s="5">
        <v>5627</v>
      </c>
      <c r="AB14" s="5">
        <v>5484</v>
      </c>
      <c r="AC14" s="5">
        <v>5484</v>
      </c>
      <c r="AD14" s="5">
        <v>5484</v>
      </c>
      <c r="AE14" s="21">
        <f t="shared" si="5"/>
        <v>22079</v>
      </c>
      <c r="AF14" s="5">
        <v>3857</v>
      </c>
      <c r="AG14" s="5">
        <v>3540</v>
      </c>
      <c r="AH14" s="5">
        <v>3539</v>
      </c>
      <c r="AI14" s="5">
        <f>15259-10936</f>
        <v>4323</v>
      </c>
      <c r="AJ14" s="21">
        <f t="shared" si="6"/>
        <v>15259</v>
      </c>
    </row>
    <row r="15" spans="1:36" x14ac:dyDescent="0.2">
      <c r="A15" s="34" t="s">
        <v>156</v>
      </c>
      <c r="B15" s="5">
        <v>0</v>
      </c>
      <c r="C15" s="5">
        <v>0</v>
      </c>
      <c r="D15" s="5">
        <v>0</v>
      </c>
      <c r="E15" s="5">
        <v>0</v>
      </c>
      <c r="F15" s="21">
        <f t="shared" si="0"/>
        <v>0</v>
      </c>
      <c r="G15" s="5">
        <v>0</v>
      </c>
      <c r="H15" s="5">
        <v>0</v>
      </c>
      <c r="I15" s="5">
        <v>0</v>
      </c>
      <c r="J15" s="5">
        <v>0</v>
      </c>
      <c r="K15" s="21">
        <f t="shared" si="1"/>
        <v>0</v>
      </c>
      <c r="L15" s="5">
        <v>0</v>
      </c>
      <c r="M15" s="5">
        <v>0</v>
      </c>
      <c r="N15" s="5">
        <v>0</v>
      </c>
      <c r="O15" s="5">
        <v>0</v>
      </c>
      <c r="P15" s="21">
        <f t="shared" si="2"/>
        <v>0</v>
      </c>
      <c r="Q15" s="5">
        <v>0</v>
      </c>
      <c r="R15" s="5">
        <v>0</v>
      </c>
      <c r="S15" s="5">
        <v>0</v>
      </c>
      <c r="T15" s="5">
        <v>0</v>
      </c>
      <c r="U15" s="21">
        <f t="shared" si="3"/>
        <v>0</v>
      </c>
      <c r="V15" s="5">
        <v>42988</v>
      </c>
      <c r="W15" s="5">
        <v>0</v>
      </c>
      <c r="X15" s="5">
        <v>0</v>
      </c>
      <c r="Y15" s="5">
        <v>0</v>
      </c>
      <c r="Z15" s="21">
        <f t="shared" si="4"/>
        <v>42988</v>
      </c>
      <c r="AA15" s="5">
        <v>0</v>
      </c>
      <c r="AB15" s="5">
        <v>0</v>
      </c>
      <c r="AC15" s="5">
        <v>0</v>
      </c>
      <c r="AD15" s="5">
        <v>0</v>
      </c>
      <c r="AE15" s="21">
        <f t="shared" si="5"/>
        <v>0</v>
      </c>
      <c r="AF15" s="5">
        <v>14165</v>
      </c>
      <c r="AG15" s="5">
        <v>0</v>
      </c>
      <c r="AH15" s="5">
        <v>0</v>
      </c>
      <c r="AI15" s="5">
        <v>0</v>
      </c>
      <c r="AJ15" s="21">
        <f t="shared" si="6"/>
        <v>14165</v>
      </c>
    </row>
    <row r="16" spans="1:36" x14ac:dyDescent="0.2">
      <c r="A16" s="34" t="s">
        <v>43</v>
      </c>
      <c r="B16" s="5">
        <v>954</v>
      </c>
      <c r="C16" s="5">
        <v>1222</v>
      </c>
      <c r="D16" s="5">
        <v>1114</v>
      </c>
      <c r="E16" s="5">
        <f>4390-3290</f>
        <v>1100</v>
      </c>
      <c r="F16" s="21">
        <f t="shared" si="0"/>
        <v>4390</v>
      </c>
      <c r="G16" s="5">
        <v>1157</v>
      </c>
      <c r="H16" s="5">
        <v>1191</v>
      </c>
      <c r="I16" s="5">
        <v>1188</v>
      </c>
      <c r="J16" s="5">
        <v>1186</v>
      </c>
      <c r="K16" s="21">
        <f t="shared" si="1"/>
        <v>4722</v>
      </c>
      <c r="L16" s="5">
        <v>3094</v>
      </c>
      <c r="M16" s="5">
        <v>1795</v>
      </c>
      <c r="N16" s="5">
        <v>1629</v>
      </c>
      <c r="O16" s="5">
        <f>8206-6518</f>
        <v>1688</v>
      </c>
      <c r="P16" s="21">
        <f t="shared" si="2"/>
        <v>8206</v>
      </c>
      <c r="Q16" s="5">
        <v>1617</v>
      </c>
      <c r="R16" s="5">
        <v>1832</v>
      </c>
      <c r="S16" s="5">
        <v>1913</v>
      </c>
      <c r="T16" s="5">
        <v>1910</v>
      </c>
      <c r="U16" s="21">
        <f t="shared" si="3"/>
        <v>7272</v>
      </c>
      <c r="V16" s="5">
        <v>1885</v>
      </c>
      <c r="W16" s="5">
        <v>1980</v>
      </c>
      <c r="X16" s="5">
        <v>2063</v>
      </c>
      <c r="Y16" s="5">
        <v>2135</v>
      </c>
      <c r="Z16" s="21">
        <f t="shared" si="4"/>
        <v>8063</v>
      </c>
      <c r="AA16" s="5">
        <v>1930</v>
      </c>
      <c r="AB16" s="5">
        <v>2140</v>
      </c>
      <c r="AC16" s="5">
        <v>2275</v>
      </c>
      <c r="AD16" s="5">
        <v>2262</v>
      </c>
      <c r="AE16" s="21">
        <f t="shared" si="5"/>
        <v>8607</v>
      </c>
      <c r="AF16" s="5">
        <v>2056</v>
      </c>
      <c r="AG16" s="5">
        <v>2368</v>
      </c>
      <c r="AH16" s="5">
        <v>11717</v>
      </c>
      <c r="AI16" s="5">
        <f>18497-16141</f>
        <v>2356</v>
      </c>
      <c r="AJ16" s="21">
        <f t="shared" si="6"/>
        <v>18497</v>
      </c>
    </row>
    <row r="17" spans="1:45" x14ac:dyDescent="0.2">
      <c r="A17" s="34" t="s">
        <v>197</v>
      </c>
      <c r="B17" s="5">
        <v>0</v>
      </c>
      <c r="C17" s="5">
        <v>0</v>
      </c>
      <c r="D17" s="5">
        <v>0</v>
      </c>
      <c r="E17" s="5">
        <v>0</v>
      </c>
      <c r="F17" s="21">
        <f t="shared" ref="F17" si="13">SUM(B17:E17)</f>
        <v>0</v>
      </c>
      <c r="G17" s="5">
        <v>0</v>
      </c>
      <c r="H17" s="5">
        <v>0</v>
      </c>
      <c r="I17" s="5">
        <v>0</v>
      </c>
      <c r="J17" s="5">
        <v>0</v>
      </c>
      <c r="K17" s="21">
        <f t="shared" ref="K17" si="14">SUM(G17:J17)</f>
        <v>0</v>
      </c>
      <c r="L17" s="5">
        <v>0</v>
      </c>
      <c r="M17" s="5">
        <v>0</v>
      </c>
      <c r="N17" s="5">
        <v>0</v>
      </c>
      <c r="O17" s="5">
        <v>0</v>
      </c>
      <c r="P17" s="21">
        <f t="shared" ref="P17" si="15">SUM(L17:O17)</f>
        <v>0</v>
      </c>
      <c r="Q17" s="5">
        <v>0</v>
      </c>
      <c r="R17" s="5">
        <v>0</v>
      </c>
      <c r="S17" s="5">
        <v>0</v>
      </c>
      <c r="T17" s="5">
        <v>0</v>
      </c>
      <c r="U17" s="21">
        <f t="shared" ref="U17" si="16">SUM(Q17:T17)</f>
        <v>0</v>
      </c>
      <c r="V17" s="5">
        <v>0</v>
      </c>
      <c r="W17" s="5">
        <v>0</v>
      </c>
      <c r="X17" s="5">
        <v>0</v>
      </c>
      <c r="Y17" s="5">
        <v>0</v>
      </c>
      <c r="Z17" s="21">
        <f t="shared" ref="Z17" si="17">SUM(V17:Y17)</f>
        <v>0</v>
      </c>
      <c r="AA17" s="5">
        <v>0</v>
      </c>
      <c r="AB17" s="5">
        <v>0</v>
      </c>
      <c r="AC17" s="5">
        <v>-4394</v>
      </c>
      <c r="AD17" s="5">
        <v>1033</v>
      </c>
      <c r="AE17" s="21">
        <f t="shared" si="5"/>
        <v>-3361</v>
      </c>
      <c r="AF17" s="5">
        <v>276</v>
      </c>
      <c r="AG17" s="5">
        <v>-9868</v>
      </c>
      <c r="AH17" s="5">
        <v>-24913</v>
      </c>
      <c r="AI17" s="5">
        <v>0</v>
      </c>
      <c r="AJ17" s="21">
        <f t="shared" si="6"/>
        <v>-34505</v>
      </c>
    </row>
    <row r="18" spans="1:45" x14ac:dyDescent="0.2">
      <c r="A18" s="34" t="s">
        <v>5</v>
      </c>
      <c r="B18" s="5">
        <v>0</v>
      </c>
      <c r="C18" s="5">
        <v>48522</v>
      </c>
      <c r="D18" s="5">
        <v>0</v>
      </c>
      <c r="E18" s="5">
        <v>0</v>
      </c>
      <c r="F18" s="21">
        <f t="shared" si="0"/>
        <v>48522</v>
      </c>
      <c r="G18" s="5">
        <v>0</v>
      </c>
      <c r="H18" s="5">
        <v>0</v>
      </c>
      <c r="I18" s="5">
        <v>0</v>
      </c>
      <c r="J18" s="5">
        <v>0</v>
      </c>
      <c r="K18" s="21">
        <f t="shared" si="1"/>
        <v>0</v>
      </c>
      <c r="L18" s="5">
        <v>0</v>
      </c>
      <c r="M18" s="5">
        <v>0</v>
      </c>
      <c r="N18" s="5">
        <v>0</v>
      </c>
      <c r="O18" s="5">
        <v>0</v>
      </c>
      <c r="P18" s="21">
        <f t="shared" si="2"/>
        <v>0</v>
      </c>
      <c r="Q18" s="5">
        <v>0</v>
      </c>
      <c r="R18" s="5">
        <v>0</v>
      </c>
      <c r="S18" s="5">
        <v>0</v>
      </c>
      <c r="T18" s="5">
        <v>0</v>
      </c>
      <c r="U18" s="21">
        <f t="shared" si="3"/>
        <v>0</v>
      </c>
      <c r="V18" s="5">
        <v>0</v>
      </c>
      <c r="W18" s="5">
        <v>0</v>
      </c>
      <c r="X18" s="5">
        <v>0</v>
      </c>
      <c r="Y18" s="5">
        <v>0</v>
      </c>
      <c r="Z18" s="21">
        <f t="shared" si="4"/>
        <v>0</v>
      </c>
      <c r="AA18" s="5">
        <v>0</v>
      </c>
      <c r="AB18" s="5">
        <v>0</v>
      </c>
      <c r="AC18" s="5">
        <v>0</v>
      </c>
      <c r="AD18" s="5">
        <v>0</v>
      </c>
      <c r="AE18" s="21">
        <f t="shared" si="5"/>
        <v>0</v>
      </c>
      <c r="AF18" s="5">
        <v>0</v>
      </c>
      <c r="AG18" s="5">
        <v>0</v>
      </c>
      <c r="AH18" s="5">
        <v>0</v>
      </c>
      <c r="AI18" s="5">
        <v>0</v>
      </c>
      <c r="AJ18" s="21">
        <f t="shared" si="6"/>
        <v>0</v>
      </c>
    </row>
    <row r="19" spans="1:45" x14ac:dyDescent="0.2">
      <c r="A19" s="34" t="s">
        <v>44</v>
      </c>
      <c r="B19" s="5">
        <v>-531</v>
      </c>
      <c r="C19" s="5">
        <v>-749</v>
      </c>
      <c r="D19" s="5">
        <v>139</v>
      </c>
      <c r="E19" s="5">
        <f>-1198+1141</f>
        <v>-57</v>
      </c>
      <c r="F19" s="21">
        <f t="shared" si="0"/>
        <v>-1198</v>
      </c>
      <c r="G19" s="5">
        <v>-1007</v>
      </c>
      <c r="H19" s="5">
        <v>24</v>
      </c>
      <c r="I19" s="5">
        <v>-484</v>
      </c>
      <c r="J19" s="5">
        <v>-405</v>
      </c>
      <c r="K19" s="21">
        <f t="shared" si="1"/>
        <v>-1872</v>
      </c>
      <c r="L19" s="5">
        <v>-542</v>
      </c>
      <c r="M19" s="5">
        <v>-129</v>
      </c>
      <c r="N19" s="5">
        <v>-549</v>
      </c>
      <c r="O19" s="5">
        <v>-1</v>
      </c>
      <c r="P19" s="21">
        <f t="shared" si="2"/>
        <v>-1221</v>
      </c>
      <c r="Q19" s="5">
        <v>-786</v>
      </c>
      <c r="R19" s="5">
        <v>-1142</v>
      </c>
      <c r="S19" s="5">
        <v>-764</v>
      </c>
      <c r="T19" s="5">
        <v>368</v>
      </c>
      <c r="U19" s="21">
        <f t="shared" si="3"/>
        <v>-2324</v>
      </c>
      <c r="V19" s="5">
        <v>237</v>
      </c>
      <c r="W19" s="5">
        <v>-414</v>
      </c>
      <c r="X19" s="5">
        <v>-367</v>
      </c>
      <c r="Y19" s="5">
        <v>-725</v>
      </c>
      <c r="Z19" s="21">
        <f t="shared" si="4"/>
        <v>-1269</v>
      </c>
      <c r="AA19" s="5">
        <v>-387</v>
      </c>
      <c r="AB19" s="5">
        <v>92</v>
      </c>
      <c r="AC19" s="5">
        <v>928</v>
      </c>
      <c r="AD19" s="5">
        <v>-270</v>
      </c>
      <c r="AE19" s="21">
        <f t="shared" si="5"/>
        <v>363</v>
      </c>
      <c r="AF19" s="5">
        <v>-291</v>
      </c>
      <c r="AG19" s="5">
        <v>-308</v>
      </c>
      <c r="AH19" s="5">
        <v>144</v>
      </c>
      <c r="AI19" s="5">
        <f>-1235+455</f>
        <v>-780</v>
      </c>
      <c r="AJ19" s="21">
        <f t="shared" si="6"/>
        <v>-1235</v>
      </c>
    </row>
    <row r="20" spans="1:45" x14ac:dyDescent="0.2">
      <c r="A20" s="4" t="s">
        <v>96</v>
      </c>
      <c r="B20" s="5">
        <f>16047-872+1723</f>
        <v>16898</v>
      </c>
      <c r="C20" s="5">
        <f>5797-16047-543+1038</f>
        <v>-9755</v>
      </c>
      <c r="D20" s="5">
        <f>-5797-13318-2343+1097</f>
        <v>-20361</v>
      </c>
      <c r="E20" s="5">
        <f>-450-1424+1709</f>
        <v>-165</v>
      </c>
      <c r="F20" s="21">
        <f t="shared" si="0"/>
        <v>-13383</v>
      </c>
      <c r="G20" s="5">
        <f>9966+1009</f>
        <v>10975</v>
      </c>
      <c r="H20" s="5">
        <f>-47+1388</f>
        <v>1341</v>
      </c>
      <c r="I20" s="5">
        <f>10570+1395</f>
        <v>11965</v>
      </c>
      <c r="J20" s="5">
        <f>13377-20489+1571</f>
        <v>-5541</v>
      </c>
      <c r="K20" s="21">
        <f t="shared" si="1"/>
        <v>18740</v>
      </c>
      <c r="L20" s="5">
        <f>7475+1110</f>
        <v>8585</v>
      </c>
      <c r="M20" s="5">
        <f>-18782+1189</f>
        <v>-17593</v>
      </c>
      <c r="N20" s="5">
        <f>-1982+1562-1</f>
        <v>-421</v>
      </c>
      <c r="O20" s="5">
        <f>2822+273-3996-5212-6173+13289+1620</f>
        <v>2623</v>
      </c>
      <c r="P20" s="21">
        <f t="shared" si="2"/>
        <v>-6806</v>
      </c>
      <c r="Q20" s="5">
        <v>13983</v>
      </c>
      <c r="R20" s="5">
        <v>8507</v>
      </c>
      <c r="S20" s="5">
        <v>-8745</v>
      </c>
      <c r="T20" s="5">
        <v>-12181</v>
      </c>
      <c r="U20" s="21">
        <f t="shared" si="3"/>
        <v>1564</v>
      </c>
      <c r="V20" s="5">
        <v>2557</v>
      </c>
      <c r="W20" s="5">
        <v>13840</v>
      </c>
      <c r="X20" s="5">
        <v>-3691</v>
      </c>
      <c r="Y20" s="5">
        <f>23478-3464+6315-18920+2957</f>
        <v>10366</v>
      </c>
      <c r="Z20" s="21">
        <f t="shared" si="4"/>
        <v>23072</v>
      </c>
      <c r="AA20" s="5">
        <v>6713</v>
      </c>
      <c r="AB20" s="5">
        <v>-43867</v>
      </c>
      <c r="AC20" s="5">
        <v>17072</v>
      </c>
      <c r="AD20" s="5">
        <v>-13117</v>
      </c>
      <c r="AE20" s="21">
        <f>SUM(AA20:AD20)</f>
        <v>-33199</v>
      </c>
      <c r="AF20" s="5">
        <v>21208</v>
      </c>
      <c r="AG20" s="5">
        <v>-1236</v>
      </c>
      <c r="AH20" s="5">
        <v>-5901</v>
      </c>
      <c r="AI20" s="5">
        <f>-4660</f>
        <v>-4660</v>
      </c>
      <c r="AJ20" s="21">
        <f t="shared" si="6"/>
        <v>9411</v>
      </c>
    </row>
    <row r="21" spans="1:45" x14ac:dyDescent="0.2">
      <c r="A21" s="4" t="s">
        <v>97</v>
      </c>
      <c r="B21" s="5">
        <v>0</v>
      </c>
      <c r="C21" s="5">
        <v>0</v>
      </c>
      <c r="D21" s="5">
        <v>0</v>
      </c>
      <c r="E21" s="5">
        <v>0</v>
      </c>
      <c r="F21" s="21">
        <f t="shared" si="0"/>
        <v>0</v>
      </c>
      <c r="G21" s="5">
        <v>0</v>
      </c>
      <c r="H21" s="5">
        <v>0</v>
      </c>
      <c r="I21" s="5">
        <v>0</v>
      </c>
      <c r="J21" s="5">
        <v>0</v>
      </c>
      <c r="K21" s="21">
        <f t="shared" si="1"/>
        <v>0</v>
      </c>
      <c r="L21" s="5">
        <v>-608</v>
      </c>
      <c r="M21" s="5">
        <v>-1057</v>
      </c>
      <c r="N21" s="5">
        <v>-1416</v>
      </c>
      <c r="O21" s="5">
        <f>-5049+3081</f>
        <v>-1968</v>
      </c>
      <c r="P21" s="21">
        <f t="shared" si="2"/>
        <v>-5049</v>
      </c>
      <c r="Q21" s="5">
        <v>-1766</v>
      </c>
      <c r="R21" s="5">
        <v>-2715</v>
      </c>
      <c r="S21" s="5">
        <v>-1257</v>
      </c>
      <c r="T21" s="5">
        <v>-1516</v>
      </c>
      <c r="U21" s="21">
        <f t="shared" si="3"/>
        <v>-7254</v>
      </c>
      <c r="V21" s="5">
        <v>-378</v>
      </c>
      <c r="W21" s="5">
        <v>-2109</v>
      </c>
      <c r="X21" s="5">
        <v>-1713</v>
      </c>
      <c r="Y21" s="5">
        <v>-2506</v>
      </c>
      <c r="Z21" s="21">
        <f t="shared" si="4"/>
        <v>-6706</v>
      </c>
      <c r="AA21" s="5">
        <v>-2315</v>
      </c>
      <c r="AB21" s="5">
        <v>-1684</v>
      </c>
      <c r="AC21" s="5">
        <v>-2435</v>
      </c>
      <c r="AD21" s="5">
        <v>-2795</v>
      </c>
      <c r="AE21" s="21">
        <f t="shared" si="5"/>
        <v>-9229</v>
      </c>
      <c r="AF21" s="5">
        <v>-2161</v>
      </c>
      <c r="AG21" s="5">
        <v>-3029</v>
      </c>
      <c r="AH21" s="5">
        <v>-1796</v>
      </c>
      <c r="AI21" s="5">
        <f>-8102+6986</f>
        <v>-1116</v>
      </c>
      <c r="AJ21" s="21">
        <f t="shared" si="6"/>
        <v>-8102</v>
      </c>
    </row>
    <row r="22" spans="1:45" s="81" customFormat="1" x14ac:dyDescent="0.2">
      <c r="A22" s="4" t="s">
        <v>145</v>
      </c>
      <c r="B22" s="5">
        <v>-1723</v>
      </c>
      <c r="C22" s="5">
        <v>-1038</v>
      </c>
      <c r="D22" s="5">
        <f>-1300-1097</f>
        <v>-2397</v>
      </c>
      <c r="E22" s="5">
        <v>-1709</v>
      </c>
      <c r="F22" s="21">
        <f t="shared" si="0"/>
        <v>-6867</v>
      </c>
      <c r="G22" s="5">
        <v>-1009</v>
      </c>
      <c r="H22" s="5">
        <v>-1388</v>
      </c>
      <c r="I22" s="5">
        <f>-5275-1395</f>
        <v>-6670</v>
      </c>
      <c r="J22" s="5">
        <v>-1571</v>
      </c>
      <c r="K22" s="21">
        <f t="shared" si="1"/>
        <v>-10638</v>
      </c>
      <c r="L22" s="5">
        <f>-8098-1110</f>
        <v>-9208</v>
      </c>
      <c r="M22" s="5">
        <f>-2299+1110</f>
        <v>-1189</v>
      </c>
      <c r="N22" s="5">
        <f>-44001-1562+1</f>
        <v>-45562</v>
      </c>
      <c r="O22" s="5">
        <v>-1620</v>
      </c>
      <c r="P22" s="21">
        <f t="shared" si="2"/>
        <v>-57579</v>
      </c>
      <c r="Q22" s="5">
        <v>-1714</v>
      </c>
      <c r="R22" s="5">
        <v>-1421</v>
      </c>
      <c r="S22" s="5">
        <v>-1477</v>
      </c>
      <c r="T22" s="5">
        <v>-1066</v>
      </c>
      <c r="U22" s="21">
        <f t="shared" si="3"/>
        <v>-5678</v>
      </c>
      <c r="V22" s="5">
        <v>-1546</v>
      </c>
      <c r="W22" s="5">
        <v>-1293</v>
      </c>
      <c r="X22" s="5">
        <v>-5619</v>
      </c>
      <c r="Y22" s="5">
        <v>-1546</v>
      </c>
      <c r="Z22" s="21">
        <f t="shared" si="4"/>
        <v>-10004</v>
      </c>
      <c r="AA22" s="5">
        <v>-1421</v>
      </c>
      <c r="AB22" s="5">
        <v>-2412</v>
      </c>
      <c r="AC22" s="5">
        <v>-3585</v>
      </c>
      <c r="AD22" s="5">
        <v>-1626</v>
      </c>
      <c r="AE22" s="21">
        <f t="shared" si="5"/>
        <v>-9044</v>
      </c>
      <c r="AF22" s="5">
        <v>-1296</v>
      </c>
      <c r="AG22" s="5">
        <v>-968</v>
      </c>
      <c r="AH22" s="5">
        <v>-1026</v>
      </c>
      <c r="AI22" s="5">
        <f>-5065+3290</f>
        <v>-1775</v>
      </c>
      <c r="AJ22" s="21">
        <f t="shared" si="6"/>
        <v>-5065</v>
      </c>
    </row>
    <row r="23" spans="1:45" s="81" customFormat="1" x14ac:dyDescent="0.2">
      <c r="A23" s="4" t="s">
        <v>194</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9428</v>
      </c>
      <c r="AH23" s="5">
        <v>17250</v>
      </c>
      <c r="AI23" s="5">
        <v>0</v>
      </c>
      <c r="AJ23" s="21">
        <f t="shared" si="6"/>
        <v>26678</v>
      </c>
    </row>
    <row r="24" spans="1:45" x14ac:dyDescent="0.2">
      <c r="A24" s="1" t="s">
        <v>45</v>
      </c>
      <c r="B24" s="8">
        <f>SUM(B7:B23)</f>
        <v>28893</v>
      </c>
      <c r="C24" s="8">
        <f>SUM(C7:C23)</f>
        <v>16768</v>
      </c>
      <c r="D24" s="8">
        <f>SUM(D7:D23)</f>
        <v>28729</v>
      </c>
      <c r="E24" s="8">
        <f>SUM(E7:E23)</f>
        <v>27727</v>
      </c>
      <c r="F24" s="23">
        <f t="shared" ref="F24:O24" si="18">SUM(F7:F22)</f>
        <v>102117</v>
      </c>
      <c r="G24" s="8">
        <f t="shared" si="18"/>
        <v>41949</v>
      </c>
      <c r="H24" s="8">
        <f t="shared" si="18"/>
        <v>37434</v>
      </c>
      <c r="I24" s="8">
        <f t="shared" si="18"/>
        <v>49962</v>
      </c>
      <c r="J24" s="8">
        <f t="shared" si="18"/>
        <v>33314</v>
      </c>
      <c r="K24" s="23">
        <f t="shared" si="18"/>
        <v>162659</v>
      </c>
      <c r="L24" s="8">
        <f t="shared" si="18"/>
        <v>34914</v>
      </c>
      <c r="M24" s="8">
        <f t="shared" si="18"/>
        <v>60441</v>
      </c>
      <c r="N24" s="8">
        <f t="shared" si="18"/>
        <v>53013</v>
      </c>
      <c r="O24" s="8">
        <f t="shared" si="18"/>
        <v>30526</v>
      </c>
      <c r="P24" s="23">
        <f>SUM(P7:P22)</f>
        <v>178894</v>
      </c>
      <c r="Q24" s="8">
        <f t="shared" ref="Q24:R24" si="19">SUM(Q7:Q22)</f>
        <v>19067</v>
      </c>
      <c r="R24" s="8">
        <f t="shared" si="19"/>
        <v>48454</v>
      </c>
      <c r="S24" s="8">
        <f t="shared" ref="S24:T24" si="20">SUM(S7:S22)</f>
        <v>37906</v>
      </c>
      <c r="T24" s="8">
        <f t="shared" si="20"/>
        <v>33641</v>
      </c>
      <c r="U24" s="23">
        <f>SUM(U7:U22)</f>
        <v>139068</v>
      </c>
      <c r="V24" s="8">
        <f t="shared" ref="V24:W24" si="21">SUM(V7:V22)</f>
        <v>48138</v>
      </c>
      <c r="W24" s="8">
        <f t="shared" si="21"/>
        <v>39805</v>
      </c>
      <c r="X24" s="8">
        <f t="shared" ref="X24:Y24" si="22">SUM(X7:X22)</f>
        <v>102902</v>
      </c>
      <c r="Y24" s="8">
        <f t="shared" si="22"/>
        <v>144418</v>
      </c>
      <c r="Z24" s="23">
        <f>SUM(Z7:Z22)</f>
        <v>335263</v>
      </c>
      <c r="AA24" s="8">
        <f t="shared" ref="AA24:AB24" si="23">SUM(AA7:AA22)</f>
        <v>169965</v>
      </c>
      <c r="AB24" s="8">
        <f t="shared" si="23"/>
        <v>171375</v>
      </c>
      <c r="AC24" s="8">
        <f t="shared" ref="AC24:AD24" si="24">SUM(AC7:AC22)</f>
        <v>111902</v>
      </c>
      <c r="AD24" s="8">
        <f t="shared" si="24"/>
        <v>51644</v>
      </c>
      <c r="AE24" s="23">
        <f t="shared" ref="AE24:AJ24" si="25">SUM(AE7:AE23)</f>
        <v>504886</v>
      </c>
      <c r="AF24" s="8">
        <f t="shared" si="25"/>
        <v>230299</v>
      </c>
      <c r="AG24" s="8">
        <f t="shared" si="25"/>
        <v>147887</v>
      </c>
      <c r="AH24" s="8">
        <f t="shared" si="25"/>
        <v>80251</v>
      </c>
      <c r="AI24" s="8">
        <f t="shared" si="25"/>
        <v>33464</v>
      </c>
      <c r="AJ24" s="23">
        <f t="shared" si="25"/>
        <v>491901</v>
      </c>
      <c r="AK24" s="81"/>
      <c r="AL24" s="81"/>
      <c r="AM24" s="81"/>
      <c r="AN24" s="81"/>
      <c r="AO24" s="81"/>
      <c r="AP24" s="81"/>
      <c r="AQ24" s="81"/>
      <c r="AR24" s="81"/>
      <c r="AS24" s="81"/>
    </row>
    <row r="25" spans="1:45" x14ac:dyDescent="0.2">
      <c r="A25" s="1"/>
      <c r="B25" s="5"/>
      <c r="C25" s="5"/>
      <c r="D25" s="5"/>
      <c r="E25" s="5"/>
      <c r="F25" s="21"/>
      <c r="G25" s="5"/>
      <c r="H25" s="5"/>
      <c r="I25" s="5"/>
      <c r="J25" s="5"/>
      <c r="K25" s="21"/>
      <c r="L25" s="5"/>
      <c r="M25" s="5"/>
      <c r="N25" s="5"/>
      <c r="O25" s="5"/>
      <c r="P25" s="21"/>
      <c r="Q25" s="5"/>
      <c r="R25" s="5"/>
      <c r="S25" s="5"/>
      <c r="T25" s="5"/>
      <c r="U25" s="21"/>
      <c r="V25" s="5"/>
      <c r="W25" s="5"/>
      <c r="X25" s="5"/>
      <c r="Y25" s="5"/>
      <c r="Z25" s="21"/>
      <c r="AA25" s="5"/>
      <c r="AB25" s="5"/>
      <c r="AC25" s="5"/>
      <c r="AD25" s="5"/>
      <c r="AE25" s="21"/>
      <c r="AF25" s="5"/>
      <c r="AG25" s="5"/>
      <c r="AH25" s="5"/>
      <c r="AI25" s="5"/>
      <c r="AJ25" s="21"/>
    </row>
    <row r="26" spans="1:45" x14ac:dyDescent="0.2">
      <c r="A26" s="32" t="s">
        <v>46</v>
      </c>
      <c r="B26" s="5"/>
      <c r="C26" s="5"/>
      <c r="D26" s="5"/>
      <c r="E26" s="5"/>
      <c r="F26" s="20"/>
      <c r="G26" s="3"/>
      <c r="H26" s="3"/>
      <c r="I26" s="3"/>
      <c r="J26" s="3"/>
      <c r="K26" s="20"/>
      <c r="L26" s="3"/>
      <c r="M26" s="3"/>
      <c r="N26" s="3"/>
      <c r="O26" s="3"/>
      <c r="P26" s="20"/>
      <c r="Q26" s="3"/>
      <c r="R26" s="3"/>
      <c r="S26" s="3"/>
      <c r="T26" s="3"/>
      <c r="U26" s="20"/>
      <c r="V26" s="3"/>
      <c r="W26" s="3"/>
      <c r="X26" s="3"/>
      <c r="Y26" s="3"/>
      <c r="Z26" s="20"/>
      <c r="AA26" s="3"/>
      <c r="AB26" s="3"/>
      <c r="AC26" s="3"/>
      <c r="AD26" s="3"/>
      <c r="AE26" s="20"/>
      <c r="AF26" s="3"/>
      <c r="AG26" s="3"/>
      <c r="AH26" s="3"/>
      <c r="AI26" s="3"/>
      <c r="AJ26" s="20"/>
    </row>
    <row r="27" spans="1:45" x14ac:dyDescent="0.2">
      <c r="A27" s="4" t="s">
        <v>149</v>
      </c>
      <c r="B27" s="5">
        <v>-932</v>
      </c>
      <c r="C27" s="5">
        <v>-2556</v>
      </c>
      <c r="D27" s="5">
        <v>-774</v>
      </c>
      <c r="E27" s="5">
        <f>-5866+4262</f>
        <v>-1604</v>
      </c>
      <c r="F27" s="21">
        <f t="shared" ref="F27:F35" si="26">SUM(B27:E27)</f>
        <v>-5866</v>
      </c>
      <c r="G27" s="5">
        <v>-3636</v>
      </c>
      <c r="H27" s="5">
        <v>-2303</v>
      </c>
      <c r="I27" s="5">
        <v>-3506</v>
      </c>
      <c r="J27" s="5">
        <v>-3410</v>
      </c>
      <c r="K27" s="21">
        <f t="shared" ref="K27:K35" si="27">SUM(G27:J27)</f>
        <v>-12855</v>
      </c>
      <c r="L27" s="5">
        <v>-3632</v>
      </c>
      <c r="M27" s="5">
        <v>-7741</v>
      </c>
      <c r="N27" s="5">
        <v>-7123</v>
      </c>
      <c r="O27" s="5">
        <f>-29880+18496</f>
        <v>-11384</v>
      </c>
      <c r="P27" s="21">
        <f t="shared" ref="P27:P35" si="28">SUM(L27:O27)</f>
        <v>-29880</v>
      </c>
      <c r="Q27" s="5">
        <v>-3760</v>
      </c>
      <c r="R27" s="5">
        <v>-11742</v>
      </c>
      <c r="S27" s="5">
        <v>-10094</v>
      </c>
      <c r="T27" s="5">
        <v>-13557</v>
      </c>
      <c r="U27" s="21">
        <f t="shared" ref="U27:U35" si="29">SUM(Q27:T27)</f>
        <v>-39153</v>
      </c>
      <c r="V27" s="5">
        <v>-5039</v>
      </c>
      <c r="W27" s="5">
        <v>-5256</v>
      </c>
      <c r="X27" s="5">
        <v>-4371</v>
      </c>
      <c r="Y27" s="5">
        <v>-8027</v>
      </c>
      <c r="Z27" s="21">
        <f t="shared" ref="Z27:Z32" si="30">SUM(V27:Y27)</f>
        <v>-22693</v>
      </c>
      <c r="AA27" s="5">
        <v>-7762</v>
      </c>
      <c r="AB27" s="5">
        <v>-8181</v>
      </c>
      <c r="AC27" s="5">
        <v>-10348</v>
      </c>
      <c r="AD27" s="5">
        <v>-12656</v>
      </c>
      <c r="AE27" s="21">
        <f t="shared" ref="AA27:AE34" si="31">SUM(AA27:AD27)</f>
        <v>-38947</v>
      </c>
      <c r="AF27" s="5">
        <v>-12566</v>
      </c>
      <c r="AG27" s="5">
        <v>-24211</v>
      </c>
      <c r="AH27" s="5">
        <v>-7223</v>
      </c>
      <c r="AI27" s="5">
        <f>-56976+44000</f>
        <v>-12976</v>
      </c>
      <c r="AJ27" s="21">
        <f t="shared" ref="AJ27:AJ34" si="32">SUM(AF27:AI27)</f>
        <v>-56976</v>
      </c>
    </row>
    <row r="28" spans="1:45" x14ac:dyDescent="0.2">
      <c r="A28" s="4" t="s">
        <v>47</v>
      </c>
      <c r="B28" s="5">
        <v>-2242</v>
      </c>
      <c r="C28" s="5">
        <v>-3302</v>
      </c>
      <c r="D28" s="5">
        <v>-4877</v>
      </c>
      <c r="E28" s="5">
        <f>-13422+10421</f>
        <v>-3001</v>
      </c>
      <c r="F28" s="21">
        <f t="shared" si="26"/>
        <v>-13422</v>
      </c>
      <c r="G28" s="5">
        <v>-2645</v>
      </c>
      <c r="H28" s="5">
        <v>-3147</v>
      </c>
      <c r="I28" s="5">
        <v>-5785</v>
      </c>
      <c r="J28" s="5">
        <v>-3630</v>
      </c>
      <c r="K28" s="21">
        <f t="shared" si="27"/>
        <v>-15207</v>
      </c>
      <c r="L28" s="5">
        <v>-2860</v>
      </c>
      <c r="M28" s="5">
        <v>-4259</v>
      </c>
      <c r="N28" s="5">
        <v>-5345</v>
      </c>
      <c r="O28" s="5">
        <f>-17378+12464</f>
        <v>-4914</v>
      </c>
      <c r="P28" s="21">
        <f t="shared" si="28"/>
        <v>-17378</v>
      </c>
      <c r="Q28" s="5">
        <v>-4242</v>
      </c>
      <c r="R28" s="5">
        <v>-3948</v>
      </c>
      <c r="S28" s="5">
        <v>-5079</v>
      </c>
      <c r="T28" s="5">
        <v>-4426</v>
      </c>
      <c r="U28" s="21">
        <f t="shared" si="29"/>
        <v>-17695</v>
      </c>
      <c r="V28" s="5">
        <v>-4310</v>
      </c>
      <c r="W28" s="5">
        <v>-3466</v>
      </c>
      <c r="X28" s="5">
        <v>-4569</v>
      </c>
      <c r="Y28" s="5">
        <v>-3889</v>
      </c>
      <c r="Z28" s="21">
        <f t="shared" si="30"/>
        <v>-16234</v>
      </c>
      <c r="AA28" s="5">
        <v>-3956</v>
      </c>
      <c r="AB28" s="5">
        <v>-3998</v>
      </c>
      <c r="AC28" s="5">
        <v>-4282</v>
      </c>
      <c r="AD28" s="5">
        <v>-4165</v>
      </c>
      <c r="AE28" s="21">
        <f t="shared" si="31"/>
        <v>-16401</v>
      </c>
      <c r="AF28" s="5">
        <v>-4648</v>
      </c>
      <c r="AG28" s="5">
        <v>-3740</v>
      </c>
      <c r="AH28" s="5">
        <v>-3832</v>
      </c>
      <c r="AI28" s="5">
        <f>-17718+12220</f>
        <v>-5498</v>
      </c>
      <c r="AJ28" s="21">
        <f t="shared" si="32"/>
        <v>-17718</v>
      </c>
    </row>
    <row r="29" spans="1:45" x14ac:dyDescent="0.2">
      <c r="A29" s="4" t="s">
        <v>48</v>
      </c>
      <c r="B29" s="5">
        <v>0</v>
      </c>
      <c r="C29" s="5">
        <v>-1161</v>
      </c>
      <c r="D29" s="5">
        <v>-19</v>
      </c>
      <c r="E29" s="5">
        <f>-1244+1180</f>
        <v>-64</v>
      </c>
      <c r="F29" s="21">
        <f t="shared" si="26"/>
        <v>-1244</v>
      </c>
      <c r="G29" s="5">
        <v>0</v>
      </c>
      <c r="H29" s="5">
        <v>-3132</v>
      </c>
      <c r="I29" s="5">
        <v>-18901</v>
      </c>
      <c r="J29" s="5">
        <v>-10</v>
      </c>
      <c r="K29" s="21">
        <f t="shared" si="27"/>
        <v>-22043</v>
      </c>
      <c r="L29" s="5">
        <v>0</v>
      </c>
      <c r="M29" s="5">
        <v>-163</v>
      </c>
      <c r="N29" s="5">
        <v>-3</v>
      </c>
      <c r="O29" s="5">
        <f>-4877+166</f>
        <v>-4711</v>
      </c>
      <c r="P29" s="21">
        <f t="shared" si="28"/>
        <v>-4877</v>
      </c>
      <c r="Q29" s="5">
        <v>0</v>
      </c>
      <c r="R29" s="5">
        <v>-278</v>
      </c>
      <c r="S29" s="5">
        <v>0</v>
      </c>
      <c r="T29" s="5">
        <v>-348</v>
      </c>
      <c r="U29" s="21">
        <f t="shared" si="29"/>
        <v>-626</v>
      </c>
      <c r="V29" s="5">
        <v>-4190</v>
      </c>
      <c r="W29" s="5">
        <v>-540</v>
      </c>
      <c r="X29" s="5">
        <v>-8</v>
      </c>
      <c r="Y29" s="5">
        <v>-2120</v>
      </c>
      <c r="Z29" s="21">
        <f t="shared" si="30"/>
        <v>-6858</v>
      </c>
      <c r="AA29" s="5">
        <v>0</v>
      </c>
      <c r="AB29" s="5">
        <v>-2192</v>
      </c>
      <c r="AC29" s="5">
        <v>-258</v>
      </c>
      <c r="AD29" s="5">
        <v>-17616</v>
      </c>
      <c r="AE29" s="21">
        <f t="shared" si="31"/>
        <v>-20066</v>
      </c>
      <c r="AF29" s="5">
        <v>0</v>
      </c>
      <c r="AG29" s="5">
        <v>-42218</v>
      </c>
      <c r="AH29" s="5">
        <v>-53863</v>
      </c>
      <c r="AI29" s="5">
        <f>-110110+96081</f>
        <v>-14029</v>
      </c>
      <c r="AJ29" s="21">
        <f t="shared" si="32"/>
        <v>-110110</v>
      </c>
    </row>
    <row r="30" spans="1:45" x14ac:dyDescent="0.2">
      <c r="A30" s="4" t="s">
        <v>49</v>
      </c>
      <c r="B30" s="5">
        <v>0</v>
      </c>
      <c r="C30" s="5">
        <v>111460</v>
      </c>
      <c r="D30" s="5">
        <v>0</v>
      </c>
      <c r="E30" s="5">
        <v>0</v>
      </c>
      <c r="F30" s="21">
        <f t="shared" si="26"/>
        <v>111460</v>
      </c>
      <c r="G30" s="5">
        <v>0</v>
      </c>
      <c r="H30" s="5">
        <v>0</v>
      </c>
      <c r="I30" s="5">
        <v>0</v>
      </c>
      <c r="J30" s="5">
        <v>0</v>
      </c>
      <c r="K30" s="21">
        <f t="shared" si="27"/>
        <v>0</v>
      </c>
      <c r="L30" s="5">
        <v>0</v>
      </c>
      <c r="M30" s="5">
        <v>0</v>
      </c>
      <c r="N30" s="5">
        <v>0</v>
      </c>
      <c r="O30" s="5">
        <v>0</v>
      </c>
      <c r="P30" s="21">
        <f t="shared" si="28"/>
        <v>0</v>
      </c>
      <c r="Q30" s="5">
        <v>0</v>
      </c>
      <c r="R30" s="5">
        <v>0</v>
      </c>
      <c r="S30" s="5">
        <v>0</v>
      </c>
      <c r="T30" s="5">
        <v>0</v>
      </c>
      <c r="U30" s="21">
        <f t="shared" si="29"/>
        <v>0</v>
      </c>
      <c r="V30" s="5">
        <v>0</v>
      </c>
      <c r="W30" s="5">
        <v>0</v>
      </c>
      <c r="X30" s="5">
        <v>0</v>
      </c>
      <c r="Y30" s="5">
        <v>0</v>
      </c>
      <c r="Z30" s="21">
        <f t="shared" si="30"/>
        <v>0</v>
      </c>
      <c r="AA30" s="5">
        <v>0</v>
      </c>
      <c r="AB30" s="5">
        <v>0</v>
      </c>
      <c r="AC30" s="5">
        <v>0</v>
      </c>
      <c r="AD30" s="5">
        <v>0</v>
      </c>
      <c r="AE30" s="21">
        <f t="shared" si="31"/>
        <v>0</v>
      </c>
      <c r="AF30" s="5">
        <v>0</v>
      </c>
      <c r="AG30" s="5">
        <v>0</v>
      </c>
      <c r="AH30" s="5">
        <v>0</v>
      </c>
      <c r="AI30" s="5"/>
      <c r="AJ30" s="21">
        <f t="shared" si="32"/>
        <v>0</v>
      </c>
    </row>
    <row r="31" spans="1:45" x14ac:dyDescent="0.2">
      <c r="A31" s="4" t="s">
        <v>101</v>
      </c>
      <c r="B31" s="5">
        <v>0</v>
      </c>
      <c r="C31" s="5">
        <v>0</v>
      </c>
      <c r="D31" s="5">
        <v>0</v>
      </c>
      <c r="E31" s="5">
        <v>0</v>
      </c>
      <c r="F31" s="21">
        <f t="shared" si="26"/>
        <v>0</v>
      </c>
      <c r="G31" s="5">
        <v>0</v>
      </c>
      <c r="H31" s="5">
        <v>0</v>
      </c>
      <c r="I31" s="5">
        <v>0</v>
      </c>
      <c r="J31" s="5">
        <v>0</v>
      </c>
      <c r="K31" s="21">
        <f t="shared" si="27"/>
        <v>0</v>
      </c>
      <c r="L31" s="5">
        <v>3419</v>
      </c>
      <c r="M31" s="5">
        <v>0</v>
      </c>
      <c r="N31" s="5">
        <v>0</v>
      </c>
      <c r="O31" s="5">
        <v>0</v>
      </c>
      <c r="P31" s="21">
        <f t="shared" si="28"/>
        <v>3419</v>
      </c>
      <c r="Q31" s="5">
        <v>0</v>
      </c>
      <c r="R31" s="5">
        <v>0</v>
      </c>
      <c r="S31" s="5">
        <v>0</v>
      </c>
      <c r="T31" s="5">
        <v>0</v>
      </c>
      <c r="U31" s="21">
        <f t="shared" si="29"/>
        <v>0</v>
      </c>
      <c r="V31" s="5">
        <v>0</v>
      </c>
      <c r="W31" s="5">
        <v>0</v>
      </c>
      <c r="X31" s="5">
        <v>0</v>
      </c>
      <c r="Y31" s="5">
        <v>0</v>
      </c>
      <c r="Z31" s="21">
        <f t="shared" si="30"/>
        <v>0</v>
      </c>
      <c r="AA31" s="5">
        <v>0</v>
      </c>
      <c r="AB31" s="5">
        <v>0</v>
      </c>
      <c r="AC31" s="5">
        <v>0</v>
      </c>
      <c r="AD31" s="5">
        <v>0</v>
      </c>
      <c r="AE31" s="21">
        <f t="shared" si="31"/>
        <v>0</v>
      </c>
      <c r="AF31" s="5">
        <v>0</v>
      </c>
      <c r="AG31" s="5">
        <v>0</v>
      </c>
      <c r="AH31" s="5">
        <v>0</v>
      </c>
      <c r="AI31" s="5"/>
      <c r="AJ31" s="21">
        <f t="shared" si="32"/>
        <v>0</v>
      </c>
    </row>
    <row r="32" spans="1:45" x14ac:dyDescent="0.2">
      <c r="A32" s="4" t="s">
        <v>142</v>
      </c>
      <c r="B32" s="5">
        <v>0</v>
      </c>
      <c r="C32" s="5">
        <v>0</v>
      </c>
      <c r="D32" s="5">
        <v>0</v>
      </c>
      <c r="E32" s="5">
        <v>0</v>
      </c>
      <c r="F32" s="21">
        <f t="shared" ref="F32" si="33">SUM(B32:E32)</f>
        <v>0</v>
      </c>
      <c r="G32" s="5">
        <v>0</v>
      </c>
      <c r="H32" s="5">
        <v>0</v>
      </c>
      <c r="I32" s="5">
        <v>0</v>
      </c>
      <c r="J32" s="5">
        <v>0</v>
      </c>
      <c r="K32" s="21">
        <f t="shared" ref="K32" si="34">SUM(G32:J32)</f>
        <v>0</v>
      </c>
      <c r="L32" s="5">
        <v>0</v>
      </c>
      <c r="M32" s="5">
        <v>0</v>
      </c>
      <c r="N32" s="5">
        <v>0</v>
      </c>
      <c r="O32" s="5">
        <v>0</v>
      </c>
      <c r="P32" s="21">
        <f t="shared" ref="P32" si="35">SUM(L32:O32)</f>
        <v>0</v>
      </c>
      <c r="Q32" s="5">
        <v>60045</v>
      </c>
      <c r="R32" s="5">
        <v>-1252</v>
      </c>
      <c r="S32" s="5">
        <v>0</v>
      </c>
      <c r="T32" s="5">
        <v>0</v>
      </c>
      <c r="U32" s="21">
        <f t="shared" si="29"/>
        <v>58793</v>
      </c>
      <c r="V32" s="5">
        <v>1000</v>
      </c>
      <c r="W32" s="5">
        <v>0</v>
      </c>
      <c r="X32" s="5">
        <v>0</v>
      </c>
      <c r="Y32" s="5">
        <v>0</v>
      </c>
      <c r="Z32" s="21">
        <f t="shared" si="30"/>
        <v>1000</v>
      </c>
      <c r="AA32" s="5">
        <v>0</v>
      </c>
      <c r="AB32" s="5">
        <v>0</v>
      </c>
      <c r="AC32" s="5">
        <v>0</v>
      </c>
      <c r="AD32" s="5">
        <v>0</v>
      </c>
      <c r="AE32" s="21">
        <f t="shared" si="31"/>
        <v>0</v>
      </c>
      <c r="AF32" s="5">
        <v>0</v>
      </c>
      <c r="AG32" s="5">
        <v>0</v>
      </c>
      <c r="AH32" s="5">
        <v>0</v>
      </c>
      <c r="AI32" s="5"/>
      <c r="AJ32" s="21">
        <f t="shared" si="32"/>
        <v>0</v>
      </c>
    </row>
    <row r="33" spans="1:36" x14ac:dyDescent="0.2">
      <c r="A33" s="4" t="s">
        <v>184</v>
      </c>
      <c r="B33" s="5">
        <v>0</v>
      </c>
      <c r="C33" s="5">
        <v>0</v>
      </c>
      <c r="D33" s="5">
        <v>0</v>
      </c>
      <c r="E33" s="5">
        <v>0</v>
      </c>
      <c r="F33" s="21">
        <f t="shared" ref="F33" si="36">SUM(B33:E33)</f>
        <v>0</v>
      </c>
      <c r="G33" s="5">
        <v>0</v>
      </c>
      <c r="H33" s="5">
        <v>0</v>
      </c>
      <c r="I33" s="5">
        <v>0</v>
      </c>
      <c r="J33" s="5">
        <v>0</v>
      </c>
      <c r="K33" s="21">
        <f t="shared" ref="K33" si="37">SUM(G33:J33)</f>
        <v>0</v>
      </c>
      <c r="L33" s="5">
        <v>0</v>
      </c>
      <c r="M33" s="5">
        <v>0</v>
      </c>
      <c r="N33" s="5">
        <v>0</v>
      </c>
      <c r="O33" s="5">
        <v>0</v>
      </c>
      <c r="P33" s="21">
        <f t="shared" ref="P33" si="38">SUM(L33:O33)</f>
        <v>0</v>
      </c>
      <c r="Q33" s="5">
        <v>0</v>
      </c>
      <c r="R33" s="5">
        <v>0</v>
      </c>
      <c r="S33" s="5">
        <v>0</v>
      </c>
      <c r="T33" s="5">
        <v>0</v>
      </c>
      <c r="U33" s="21">
        <f t="shared" ref="U33" si="39">SUM(Q33:T33)</f>
        <v>0</v>
      </c>
      <c r="V33" s="5">
        <v>0</v>
      </c>
      <c r="W33" s="5">
        <v>0</v>
      </c>
      <c r="X33" s="5">
        <v>0</v>
      </c>
      <c r="Y33" s="5">
        <v>0</v>
      </c>
      <c r="Z33" s="21">
        <f t="shared" ref="Z33" si="40">SUM(V33:Y33)</f>
        <v>0</v>
      </c>
      <c r="AA33" s="5">
        <v>0</v>
      </c>
      <c r="AB33" s="5">
        <v>0</v>
      </c>
      <c r="AC33" s="5">
        <v>13250</v>
      </c>
      <c r="AD33" s="5">
        <v>1750</v>
      </c>
      <c r="AE33" s="21">
        <f t="shared" si="31"/>
        <v>15000</v>
      </c>
      <c r="AF33" s="5">
        <v>0</v>
      </c>
      <c r="AG33" s="5">
        <v>0</v>
      </c>
      <c r="AH33" s="5">
        <v>0</v>
      </c>
      <c r="AI33" s="5">
        <v>8750</v>
      </c>
      <c r="AJ33" s="21">
        <f t="shared" si="32"/>
        <v>8750</v>
      </c>
    </row>
    <row r="34" spans="1:36" x14ac:dyDescent="0.2">
      <c r="A34" s="4" t="s">
        <v>201</v>
      </c>
      <c r="B34" s="5"/>
      <c r="C34" s="5"/>
      <c r="D34" s="5"/>
      <c r="E34" s="5"/>
      <c r="F34" s="21"/>
      <c r="G34" s="5"/>
      <c r="H34" s="5"/>
      <c r="I34" s="5"/>
      <c r="J34" s="5"/>
      <c r="K34" s="21"/>
      <c r="L34" s="5"/>
      <c r="M34" s="5"/>
      <c r="N34" s="5"/>
      <c r="O34" s="5"/>
      <c r="P34" s="21"/>
      <c r="Q34" s="5"/>
      <c r="R34" s="5"/>
      <c r="S34" s="5"/>
      <c r="T34" s="5"/>
      <c r="U34" s="21"/>
      <c r="V34" s="5"/>
      <c r="W34" s="5"/>
      <c r="X34" s="5"/>
      <c r="Y34" s="5"/>
      <c r="Z34" s="21"/>
      <c r="AA34" s="21">
        <f t="shared" si="31"/>
        <v>0</v>
      </c>
      <c r="AB34" s="21">
        <f t="shared" si="31"/>
        <v>0</v>
      </c>
      <c r="AC34" s="21">
        <f t="shared" si="31"/>
        <v>0</v>
      </c>
      <c r="AD34" s="21">
        <f t="shared" si="31"/>
        <v>0</v>
      </c>
      <c r="AE34" s="21">
        <f t="shared" si="31"/>
        <v>0</v>
      </c>
      <c r="AF34" s="5">
        <v>0</v>
      </c>
      <c r="AG34" s="5">
        <v>0</v>
      </c>
      <c r="AH34" s="5">
        <v>23571</v>
      </c>
      <c r="AI34" s="5">
        <v>0</v>
      </c>
      <c r="AJ34" s="21">
        <f t="shared" si="32"/>
        <v>23571</v>
      </c>
    </row>
    <row r="35" spans="1:36" x14ac:dyDescent="0.2">
      <c r="A35" s="4" t="s">
        <v>44</v>
      </c>
      <c r="B35" s="40">
        <f>116</f>
        <v>116</v>
      </c>
      <c r="C35" s="40">
        <f>-7-4+4</f>
        <v>-7</v>
      </c>
      <c r="D35" s="40">
        <v>416</v>
      </c>
      <c r="E35" s="40">
        <f>6384-3967+6-525</f>
        <v>1898</v>
      </c>
      <c r="F35" s="46">
        <f t="shared" si="26"/>
        <v>2423</v>
      </c>
      <c r="G35" s="40">
        <v>-102</v>
      </c>
      <c r="H35" s="40">
        <v>28</v>
      </c>
      <c r="I35" s="40">
        <v>-32</v>
      </c>
      <c r="J35" s="40">
        <f>1278-1324+131+106</f>
        <v>191</v>
      </c>
      <c r="K35" s="46">
        <f t="shared" si="27"/>
        <v>85</v>
      </c>
      <c r="L35" s="40">
        <v>232</v>
      </c>
      <c r="M35" s="40">
        <v>299</v>
      </c>
      <c r="N35" s="40">
        <v>124</v>
      </c>
      <c r="O35" s="5">
        <f>4226-3419-655</f>
        <v>152</v>
      </c>
      <c r="P35" s="46">
        <f t="shared" si="28"/>
        <v>807</v>
      </c>
      <c r="Q35" s="40">
        <v>130</v>
      </c>
      <c r="R35" s="40">
        <v>303</v>
      </c>
      <c r="S35" s="40">
        <f>2017+87</f>
        <v>2104</v>
      </c>
      <c r="T35" s="40">
        <v>661</v>
      </c>
      <c r="U35" s="46">
        <f t="shared" si="29"/>
        <v>3198</v>
      </c>
      <c r="V35" s="40">
        <v>1505</v>
      </c>
      <c r="W35" s="40">
        <v>608</v>
      </c>
      <c r="X35" s="40">
        <v>371</v>
      </c>
      <c r="Y35" s="40">
        <f>575-448-19</f>
        <v>108</v>
      </c>
      <c r="Z35" s="46">
        <f>SUM(V35:Y35)+1</f>
        <v>2593</v>
      </c>
      <c r="AA35" s="40">
        <v>189</v>
      </c>
      <c r="AB35" s="40">
        <v>446</v>
      </c>
      <c r="AC35" s="40">
        <v>358</v>
      </c>
      <c r="AD35" s="40">
        <v>276</v>
      </c>
      <c r="AE35" s="46">
        <f>SUM(AA35:AD35)</f>
        <v>1269</v>
      </c>
      <c r="AF35" s="40">
        <v>92</v>
      </c>
      <c r="AG35" s="40">
        <v>-1475</v>
      </c>
      <c r="AH35" s="40">
        <v>2318</v>
      </c>
      <c r="AI35" s="40">
        <f>4963-935</f>
        <v>4028</v>
      </c>
      <c r="AJ35" s="46">
        <f>SUM(AF35:AI35)</f>
        <v>4963</v>
      </c>
    </row>
    <row r="36" spans="1:36" x14ac:dyDescent="0.2">
      <c r="A36" s="1" t="s">
        <v>191</v>
      </c>
      <c r="B36" s="8">
        <f t="shared" ref="B36:AC36" si="41">SUM(B27:B35)</f>
        <v>-3058</v>
      </c>
      <c r="C36" s="8">
        <f t="shared" si="41"/>
        <v>104434</v>
      </c>
      <c r="D36" s="8">
        <f t="shared" si="41"/>
        <v>-5254</v>
      </c>
      <c r="E36" s="8">
        <f t="shared" si="41"/>
        <v>-2771</v>
      </c>
      <c r="F36" s="23">
        <f t="shared" si="41"/>
        <v>93351</v>
      </c>
      <c r="G36" s="8">
        <f t="shared" si="41"/>
        <v>-6383</v>
      </c>
      <c r="H36" s="8">
        <f t="shared" si="41"/>
        <v>-8554</v>
      </c>
      <c r="I36" s="8">
        <f t="shared" si="41"/>
        <v>-28224</v>
      </c>
      <c r="J36" s="8">
        <f t="shared" si="41"/>
        <v>-6859</v>
      </c>
      <c r="K36" s="23">
        <f t="shared" si="41"/>
        <v>-50020</v>
      </c>
      <c r="L36" s="8">
        <f t="shared" si="41"/>
        <v>-2841</v>
      </c>
      <c r="M36" s="8">
        <f t="shared" si="41"/>
        <v>-11864</v>
      </c>
      <c r="N36" s="8">
        <f t="shared" si="41"/>
        <v>-12347</v>
      </c>
      <c r="O36" s="8">
        <f t="shared" si="41"/>
        <v>-20857</v>
      </c>
      <c r="P36" s="23">
        <f t="shared" si="41"/>
        <v>-47909</v>
      </c>
      <c r="Q36" s="8">
        <f t="shared" si="41"/>
        <v>52173</v>
      </c>
      <c r="R36" s="8">
        <f t="shared" si="41"/>
        <v>-16917</v>
      </c>
      <c r="S36" s="8">
        <f t="shared" si="41"/>
        <v>-13069</v>
      </c>
      <c r="T36" s="8">
        <f t="shared" si="41"/>
        <v>-17670</v>
      </c>
      <c r="U36" s="23">
        <f t="shared" si="41"/>
        <v>4517</v>
      </c>
      <c r="V36" s="8">
        <f t="shared" si="41"/>
        <v>-11034</v>
      </c>
      <c r="W36" s="8">
        <f t="shared" si="41"/>
        <v>-8654</v>
      </c>
      <c r="X36" s="8">
        <f t="shared" si="41"/>
        <v>-8577</v>
      </c>
      <c r="Y36" s="8">
        <f t="shared" si="41"/>
        <v>-13928</v>
      </c>
      <c r="Z36" s="23">
        <f t="shared" si="41"/>
        <v>-42192</v>
      </c>
      <c r="AA36" s="8">
        <f t="shared" si="41"/>
        <v>-11529</v>
      </c>
      <c r="AB36" s="8">
        <f t="shared" si="41"/>
        <v>-13925</v>
      </c>
      <c r="AC36" s="8">
        <f t="shared" si="41"/>
        <v>-1280</v>
      </c>
      <c r="AD36" s="8">
        <f t="shared" ref="AD36:AE36" si="42">SUM(AD27:AD35)</f>
        <v>-32411</v>
      </c>
      <c r="AE36" s="23">
        <f t="shared" si="42"/>
        <v>-59145</v>
      </c>
      <c r="AF36" s="8">
        <f t="shared" ref="AF36:AG36" si="43">SUM(AF27:AF35)</f>
        <v>-17122</v>
      </c>
      <c r="AG36" s="8">
        <f t="shared" si="43"/>
        <v>-71644</v>
      </c>
      <c r="AH36" s="8">
        <f>SUM(AH27:AH35)</f>
        <v>-39029</v>
      </c>
      <c r="AI36" s="8">
        <f>SUM(AI27:AI35)</f>
        <v>-19725</v>
      </c>
      <c r="AJ36" s="23">
        <f t="shared" ref="AJ36" si="44">SUM(AJ27:AJ35)</f>
        <v>-147520</v>
      </c>
    </row>
    <row r="37" spans="1:36" x14ac:dyDescent="0.2">
      <c r="A37" s="1"/>
      <c r="B37" s="5"/>
      <c r="C37" s="5"/>
      <c r="D37" s="5"/>
      <c r="E37" s="5"/>
      <c r="F37" s="21"/>
      <c r="G37" s="5"/>
      <c r="H37" s="5"/>
      <c r="I37" s="5"/>
      <c r="J37" s="5"/>
      <c r="K37" s="21"/>
      <c r="L37" s="5"/>
      <c r="M37" s="5"/>
      <c r="N37" s="5"/>
      <c r="O37" s="5"/>
      <c r="P37" s="21"/>
      <c r="Q37" s="5"/>
      <c r="R37" s="5"/>
      <c r="S37" s="5"/>
      <c r="T37" s="5"/>
      <c r="U37" s="21"/>
      <c r="V37" s="5"/>
      <c r="W37" s="5"/>
      <c r="X37" s="5"/>
      <c r="Y37" s="5"/>
      <c r="Z37" s="21"/>
      <c r="AA37" s="5"/>
      <c r="AB37" s="5"/>
      <c r="AC37" s="5"/>
      <c r="AD37" s="5"/>
      <c r="AE37" s="21"/>
      <c r="AF37" s="5"/>
      <c r="AG37" s="5"/>
      <c r="AH37" s="5"/>
      <c r="AI37" s="5"/>
      <c r="AJ37" s="21"/>
    </row>
    <row r="38" spans="1:36" x14ac:dyDescent="0.2">
      <c r="A38" s="32" t="s">
        <v>50</v>
      </c>
      <c r="B38" s="3"/>
      <c r="C38" s="3"/>
      <c r="D38" s="3"/>
      <c r="E38" s="3"/>
      <c r="F38" s="20"/>
      <c r="G38" s="3"/>
      <c r="H38" s="3"/>
      <c r="I38" s="3"/>
      <c r="J38" s="3"/>
      <c r="K38" s="20"/>
      <c r="L38" s="3"/>
      <c r="M38" s="3"/>
      <c r="N38" s="3"/>
      <c r="O38" s="3"/>
      <c r="P38" s="20"/>
      <c r="Q38" s="3"/>
      <c r="R38" s="3"/>
      <c r="S38" s="3"/>
      <c r="T38" s="3"/>
      <c r="U38" s="20"/>
      <c r="V38" s="3"/>
      <c r="W38" s="3"/>
      <c r="X38" s="3"/>
      <c r="Y38" s="3"/>
      <c r="Z38" s="20"/>
      <c r="AA38" s="3"/>
      <c r="AB38" s="3"/>
      <c r="AC38" s="3"/>
      <c r="AD38" s="3"/>
      <c r="AE38" s="20"/>
      <c r="AF38" s="3"/>
      <c r="AG38" s="3"/>
      <c r="AH38" s="3"/>
      <c r="AI38" s="3"/>
      <c r="AJ38" s="20"/>
    </row>
    <row r="39" spans="1:36" x14ac:dyDescent="0.2">
      <c r="A39" s="4" t="s">
        <v>116</v>
      </c>
      <c r="B39" s="5">
        <v>-15258</v>
      </c>
      <c r="C39" s="5">
        <v>-15195</v>
      </c>
      <c r="D39" s="5">
        <v>-15194</v>
      </c>
      <c r="E39" s="5">
        <f>-60842+45647</f>
        <v>-15195</v>
      </c>
      <c r="F39" s="21">
        <f t="shared" ref="F39:F47" si="45">SUM(B39:E39)</f>
        <v>-60842</v>
      </c>
      <c r="G39" s="5">
        <v>-15228</v>
      </c>
      <c r="H39" s="5">
        <v>-15229</v>
      </c>
      <c r="I39" s="5">
        <v>-15229</v>
      </c>
      <c r="J39" s="5">
        <v>-16245</v>
      </c>
      <c r="K39" s="21">
        <f t="shared" ref="K39:K47" si="46">SUM(G39:J39)</f>
        <v>-61931</v>
      </c>
      <c r="L39" s="5">
        <v>-25102</v>
      </c>
      <c r="M39" s="5">
        <v>-25101</v>
      </c>
      <c r="N39" s="5">
        <v>-25102</v>
      </c>
      <c r="O39" s="5">
        <v>-71463</v>
      </c>
      <c r="P39" s="21">
        <f t="shared" ref="P39:P47" si="47">SUM(L39:O39)</f>
        <v>-146768</v>
      </c>
      <c r="Q39" s="5">
        <v>-27065</v>
      </c>
      <c r="R39" s="5">
        <v>-26881</v>
      </c>
      <c r="S39" s="5">
        <v>-26888</v>
      </c>
      <c r="T39" s="5">
        <v>-26888</v>
      </c>
      <c r="U39" s="21">
        <f t="shared" ref="U39:U47" si="48">SUM(Q39:T39)</f>
        <v>-107722</v>
      </c>
      <c r="V39" s="5">
        <v>-26941</v>
      </c>
      <c r="W39" s="5">
        <v>-26744</v>
      </c>
      <c r="X39" s="5">
        <v>-26749</v>
      </c>
      <c r="Y39" s="5">
        <v>-27419</v>
      </c>
      <c r="Z39" s="21">
        <f t="shared" ref="Z39:Z46" si="49">SUM(V39:Y39)</f>
        <v>-107853</v>
      </c>
      <c r="AA39" s="5">
        <v>-27484</v>
      </c>
      <c r="AB39" s="5">
        <v>-27489</v>
      </c>
      <c r="AC39" s="5">
        <v>-27489</v>
      </c>
      <c r="AD39" s="5">
        <v>-305779</v>
      </c>
      <c r="AE39" s="21">
        <f t="shared" ref="AE39:AE46" si="50">SUM(AA39:AD39)</f>
        <v>-388241</v>
      </c>
      <c r="AF39" s="5">
        <v>-30524</v>
      </c>
      <c r="AG39" s="5">
        <v>-30524</v>
      </c>
      <c r="AH39" s="5">
        <v>-35530</v>
      </c>
      <c r="AI39" s="5">
        <f>-208133+96578</f>
        <v>-111555</v>
      </c>
      <c r="AJ39" s="21">
        <f t="shared" ref="AJ39:AJ46" si="51">SUM(AF39:AI39)</f>
        <v>-208133</v>
      </c>
    </row>
    <row r="40" spans="1:36" x14ac:dyDescent="0.2">
      <c r="A40" s="4" t="s">
        <v>51</v>
      </c>
      <c r="B40" s="5">
        <v>0</v>
      </c>
      <c r="C40" s="5">
        <v>-5956</v>
      </c>
      <c r="D40" s="5">
        <v>0</v>
      </c>
      <c r="E40" s="5">
        <v>0</v>
      </c>
      <c r="F40" s="21">
        <f t="shared" si="45"/>
        <v>-5956</v>
      </c>
      <c r="G40" s="5">
        <v>0</v>
      </c>
      <c r="H40" s="5">
        <v>0</v>
      </c>
      <c r="I40" s="5">
        <v>0</v>
      </c>
      <c r="J40" s="5">
        <v>0</v>
      </c>
      <c r="K40" s="21">
        <f t="shared" si="46"/>
        <v>0</v>
      </c>
      <c r="L40" s="5">
        <v>0</v>
      </c>
      <c r="M40" s="5">
        <v>0</v>
      </c>
      <c r="N40" s="5">
        <v>0</v>
      </c>
      <c r="O40" s="5">
        <v>0</v>
      </c>
      <c r="P40" s="21">
        <f t="shared" si="47"/>
        <v>0</v>
      </c>
      <c r="Q40" s="5">
        <v>-10158</v>
      </c>
      <c r="R40" s="5">
        <v>-15015</v>
      </c>
      <c r="S40" s="5">
        <v>0</v>
      </c>
      <c r="T40" s="5">
        <v>0</v>
      </c>
      <c r="U40" s="21">
        <f t="shared" si="48"/>
        <v>-25173</v>
      </c>
      <c r="V40" s="5">
        <v>-12355</v>
      </c>
      <c r="W40" s="5">
        <v>-3009</v>
      </c>
      <c r="X40" s="5">
        <v>0</v>
      </c>
      <c r="Y40" s="5">
        <v>0</v>
      </c>
      <c r="Z40" s="21">
        <f t="shared" si="49"/>
        <v>-15364</v>
      </c>
      <c r="AA40" s="5">
        <v>0</v>
      </c>
      <c r="AB40" s="5">
        <v>0</v>
      </c>
      <c r="AC40" s="5">
        <v>0</v>
      </c>
      <c r="AD40" s="5">
        <v>0</v>
      </c>
      <c r="AE40" s="21">
        <f t="shared" si="50"/>
        <v>0</v>
      </c>
      <c r="AF40" s="5">
        <v>0</v>
      </c>
      <c r="AG40" s="5">
        <v>-4156</v>
      </c>
      <c r="AH40" s="5">
        <v>-371</v>
      </c>
      <c r="AI40" s="5">
        <f>-54549+4527</f>
        <v>-50022</v>
      </c>
      <c r="AJ40" s="21">
        <f t="shared" si="51"/>
        <v>-54549</v>
      </c>
    </row>
    <row r="41" spans="1:36" x14ac:dyDescent="0.2">
      <c r="A41" s="4" t="s">
        <v>99</v>
      </c>
      <c r="B41" s="5">
        <v>0</v>
      </c>
      <c r="C41" s="5">
        <v>0</v>
      </c>
      <c r="D41" s="5">
        <v>0</v>
      </c>
      <c r="E41" s="5">
        <v>0</v>
      </c>
      <c r="F41" s="21">
        <f t="shared" si="45"/>
        <v>0</v>
      </c>
      <c r="G41" s="5">
        <v>0</v>
      </c>
      <c r="H41" s="5">
        <v>0</v>
      </c>
      <c r="I41" s="5">
        <v>0</v>
      </c>
      <c r="J41" s="5">
        <v>0</v>
      </c>
      <c r="K41" s="21">
        <f t="shared" si="46"/>
        <v>0</v>
      </c>
      <c r="L41" s="5">
        <v>100000</v>
      </c>
      <c r="M41" s="5">
        <v>0</v>
      </c>
      <c r="N41" s="5">
        <v>0</v>
      </c>
      <c r="O41" s="5">
        <v>0</v>
      </c>
      <c r="P41" s="21">
        <f t="shared" si="47"/>
        <v>100000</v>
      </c>
      <c r="Q41" s="5">
        <v>0</v>
      </c>
      <c r="R41" s="5">
        <v>0</v>
      </c>
      <c r="S41" s="5">
        <v>0</v>
      </c>
      <c r="T41" s="5">
        <v>0</v>
      </c>
      <c r="U41" s="21">
        <f t="shared" si="48"/>
        <v>0</v>
      </c>
      <c r="V41" s="5">
        <v>0</v>
      </c>
      <c r="W41" s="5">
        <v>0</v>
      </c>
      <c r="X41" s="5">
        <v>0</v>
      </c>
      <c r="Y41" s="5">
        <v>0</v>
      </c>
      <c r="Z41" s="21">
        <f t="shared" si="49"/>
        <v>0</v>
      </c>
      <c r="AA41" s="5">
        <v>0</v>
      </c>
      <c r="AB41" s="5">
        <v>0</v>
      </c>
      <c r="AC41" s="5">
        <v>0</v>
      </c>
      <c r="AD41" s="5">
        <v>0</v>
      </c>
      <c r="AE41" s="21">
        <f t="shared" si="50"/>
        <v>0</v>
      </c>
      <c r="AF41" s="5">
        <v>0</v>
      </c>
      <c r="AG41" s="5">
        <v>0</v>
      </c>
      <c r="AH41" s="5">
        <v>0</v>
      </c>
      <c r="AI41" s="5">
        <v>0</v>
      </c>
      <c r="AJ41" s="21">
        <f t="shared" si="51"/>
        <v>0</v>
      </c>
    </row>
    <row r="42" spans="1:36" x14ac:dyDescent="0.2">
      <c r="A42" s="4" t="s">
        <v>100</v>
      </c>
      <c r="B42" s="5">
        <v>-30000</v>
      </c>
      <c r="C42" s="5">
        <v>0</v>
      </c>
      <c r="D42" s="5">
        <v>0</v>
      </c>
      <c r="E42" s="5">
        <v>0</v>
      </c>
      <c r="F42" s="21">
        <f t="shared" si="45"/>
        <v>-30000</v>
      </c>
      <c r="G42" s="5">
        <v>0</v>
      </c>
      <c r="H42" s="5">
        <v>0</v>
      </c>
      <c r="I42" s="5">
        <v>0</v>
      </c>
      <c r="J42" s="5">
        <v>0</v>
      </c>
      <c r="K42" s="21">
        <f t="shared" si="46"/>
        <v>0</v>
      </c>
      <c r="L42" s="5">
        <v>-100000</v>
      </c>
      <c r="M42" s="5">
        <v>0</v>
      </c>
      <c r="N42" s="5">
        <v>0</v>
      </c>
      <c r="O42" s="5">
        <v>0</v>
      </c>
      <c r="P42" s="21">
        <f t="shared" si="47"/>
        <v>-100000</v>
      </c>
      <c r="Q42" s="5">
        <v>0</v>
      </c>
      <c r="R42" s="5">
        <v>0</v>
      </c>
      <c r="S42" s="5">
        <v>0</v>
      </c>
      <c r="T42" s="5">
        <v>0</v>
      </c>
      <c r="U42" s="21">
        <f t="shared" si="48"/>
        <v>0</v>
      </c>
      <c r="V42" s="5">
        <v>0</v>
      </c>
      <c r="W42" s="5">
        <v>0</v>
      </c>
      <c r="X42" s="5">
        <v>0</v>
      </c>
      <c r="Y42" s="5">
        <v>0</v>
      </c>
      <c r="Z42" s="21">
        <f t="shared" si="49"/>
        <v>0</v>
      </c>
      <c r="AA42" s="5">
        <v>0</v>
      </c>
      <c r="AB42" s="5">
        <v>0</v>
      </c>
      <c r="AC42" s="5">
        <v>0</v>
      </c>
      <c r="AD42" s="5">
        <v>0</v>
      </c>
      <c r="AE42" s="21">
        <f t="shared" si="50"/>
        <v>0</v>
      </c>
      <c r="AF42" s="5">
        <v>0</v>
      </c>
      <c r="AG42" s="5">
        <v>0</v>
      </c>
      <c r="AH42" s="5">
        <v>0</v>
      </c>
      <c r="AI42" s="5">
        <v>0</v>
      </c>
      <c r="AJ42" s="21">
        <f t="shared" si="51"/>
        <v>0</v>
      </c>
    </row>
    <row r="43" spans="1:36" x14ac:dyDescent="0.2">
      <c r="A43" s="4" t="s">
        <v>135</v>
      </c>
      <c r="B43" s="5">
        <v>0</v>
      </c>
      <c r="C43" s="5">
        <v>0</v>
      </c>
      <c r="D43" s="5">
        <v>0</v>
      </c>
      <c r="E43" s="5">
        <v>0</v>
      </c>
      <c r="F43" s="21">
        <f t="shared" si="45"/>
        <v>0</v>
      </c>
      <c r="G43" s="5">
        <v>0</v>
      </c>
      <c r="H43" s="5">
        <v>0</v>
      </c>
      <c r="I43" s="5">
        <v>0</v>
      </c>
      <c r="J43" s="5">
        <v>0</v>
      </c>
      <c r="K43" s="21">
        <f t="shared" si="46"/>
        <v>0</v>
      </c>
      <c r="L43" s="5">
        <v>-106000</v>
      </c>
      <c r="M43" s="5">
        <v>0</v>
      </c>
      <c r="N43" s="5">
        <v>0</v>
      </c>
      <c r="O43" s="5">
        <v>0</v>
      </c>
      <c r="P43" s="21">
        <f t="shared" si="47"/>
        <v>-106000</v>
      </c>
      <c r="Q43" s="5">
        <v>0</v>
      </c>
      <c r="R43" s="5">
        <v>0</v>
      </c>
      <c r="S43" s="5">
        <v>0</v>
      </c>
      <c r="T43" s="5">
        <v>0</v>
      </c>
      <c r="U43" s="21">
        <f t="shared" si="48"/>
        <v>0</v>
      </c>
      <c r="V43" s="5">
        <v>0</v>
      </c>
      <c r="W43" s="5">
        <v>0</v>
      </c>
      <c r="X43" s="5">
        <v>0</v>
      </c>
      <c r="Y43" s="5">
        <v>0</v>
      </c>
      <c r="Z43" s="21">
        <f t="shared" si="49"/>
        <v>0</v>
      </c>
      <c r="AA43" s="5">
        <v>0</v>
      </c>
      <c r="AB43" s="5">
        <v>0</v>
      </c>
      <c r="AC43" s="5">
        <v>0</v>
      </c>
      <c r="AD43" s="5">
        <v>0</v>
      </c>
      <c r="AE43" s="21">
        <f t="shared" si="50"/>
        <v>0</v>
      </c>
      <c r="AF43" s="5">
        <v>0</v>
      </c>
      <c r="AG43" s="5">
        <v>0</v>
      </c>
      <c r="AH43" s="5">
        <v>0</v>
      </c>
      <c r="AI43" s="5">
        <v>0</v>
      </c>
      <c r="AJ43" s="21">
        <f t="shared" si="51"/>
        <v>0</v>
      </c>
    </row>
    <row r="44" spans="1:36" x14ac:dyDescent="0.2">
      <c r="A44" s="4" t="s">
        <v>53</v>
      </c>
      <c r="B44" s="5">
        <v>27500</v>
      </c>
      <c r="C44" s="5">
        <v>0</v>
      </c>
      <c r="D44" s="5">
        <v>65735</v>
      </c>
      <c r="E44" s="5">
        <v>0</v>
      </c>
      <c r="F44" s="21">
        <f t="shared" si="45"/>
        <v>93235</v>
      </c>
      <c r="G44" s="5">
        <v>0</v>
      </c>
      <c r="H44" s="5">
        <v>0</v>
      </c>
      <c r="I44" s="5">
        <v>0</v>
      </c>
      <c r="J44" s="5">
        <v>0</v>
      </c>
      <c r="K44" s="21">
        <f t="shared" si="46"/>
        <v>0</v>
      </c>
      <c r="L44" s="5">
        <v>100000</v>
      </c>
      <c r="M44" s="5">
        <v>0</v>
      </c>
      <c r="N44" s="5">
        <v>0</v>
      </c>
      <c r="O44" s="5">
        <v>0</v>
      </c>
      <c r="P44" s="21">
        <f t="shared" si="47"/>
        <v>100000</v>
      </c>
      <c r="Q44" s="5">
        <v>150000</v>
      </c>
      <c r="R44" s="5">
        <v>0</v>
      </c>
      <c r="S44" s="5">
        <v>0</v>
      </c>
      <c r="T44" s="5">
        <v>40000</v>
      </c>
      <c r="U44" s="21">
        <f t="shared" si="48"/>
        <v>190000</v>
      </c>
      <c r="V44" s="5">
        <v>0</v>
      </c>
      <c r="W44" s="5">
        <v>0</v>
      </c>
      <c r="X44" s="5">
        <v>0</v>
      </c>
      <c r="Y44" s="5">
        <v>46000</v>
      </c>
      <c r="Z44" s="21">
        <f t="shared" si="49"/>
        <v>46000</v>
      </c>
      <c r="AA44" s="5">
        <v>0</v>
      </c>
      <c r="AB44" s="5">
        <v>0</v>
      </c>
      <c r="AC44" s="5">
        <v>0</v>
      </c>
      <c r="AD44" s="5">
        <v>40000</v>
      </c>
      <c r="AE44" s="21">
        <f t="shared" si="50"/>
        <v>40000</v>
      </c>
      <c r="AF44" s="5">
        <v>0</v>
      </c>
      <c r="AG44" s="5">
        <v>0</v>
      </c>
      <c r="AH44" s="5">
        <v>277500</v>
      </c>
      <c r="AI44" s="5">
        <f>317500-277500</f>
        <v>40000</v>
      </c>
      <c r="AJ44" s="21">
        <f t="shared" si="51"/>
        <v>317500</v>
      </c>
    </row>
    <row r="45" spans="1:36" x14ac:dyDescent="0.2">
      <c r="A45" s="4" t="s">
        <v>52</v>
      </c>
      <c r="B45" s="5">
        <v>-5000</v>
      </c>
      <c r="C45" s="5">
        <v>-42600</v>
      </c>
      <c r="D45" s="5">
        <v>-65735</v>
      </c>
      <c r="E45" s="5">
        <v>0</v>
      </c>
      <c r="F45" s="21">
        <f t="shared" si="45"/>
        <v>-113335</v>
      </c>
      <c r="G45" s="5">
        <v>0</v>
      </c>
      <c r="H45" s="5">
        <v>-5000</v>
      </c>
      <c r="I45" s="5">
        <v>0</v>
      </c>
      <c r="J45" s="5">
        <v>-6000</v>
      </c>
      <c r="K45" s="21">
        <f t="shared" si="46"/>
        <v>-11000</v>
      </c>
      <c r="L45" s="5">
        <v>-14250</v>
      </c>
      <c r="M45" s="5">
        <v>0</v>
      </c>
      <c r="N45" s="5">
        <v>0</v>
      </c>
      <c r="O45" s="5">
        <v>0</v>
      </c>
      <c r="P45" s="21">
        <f t="shared" si="47"/>
        <v>-14250</v>
      </c>
      <c r="Q45" s="5">
        <v>-150000</v>
      </c>
      <c r="R45" s="5">
        <v>0</v>
      </c>
      <c r="S45" s="5">
        <v>0</v>
      </c>
      <c r="T45" s="5">
        <v>-40000</v>
      </c>
      <c r="U45" s="21">
        <f t="shared" si="48"/>
        <v>-190000</v>
      </c>
      <c r="V45" s="5">
        <v>0</v>
      </c>
      <c r="W45" s="5">
        <v>0</v>
      </c>
      <c r="X45" s="5">
        <v>0</v>
      </c>
      <c r="Y45" s="5">
        <v>-46000</v>
      </c>
      <c r="Z45" s="21">
        <f t="shared" si="49"/>
        <v>-46000</v>
      </c>
      <c r="AA45" s="5">
        <v>0</v>
      </c>
      <c r="AB45" s="5">
        <v>0</v>
      </c>
      <c r="AC45" s="5">
        <v>0</v>
      </c>
      <c r="AD45" s="5">
        <v>-46366</v>
      </c>
      <c r="AE45" s="21">
        <f t="shared" si="50"/>
        <v>-46366</v>
      </c>
      <c r="AF45" s="5">
        <v>-3000</v>
      </c>
      <c r="AG45" s="5">
        <v>0</v>
      </c>
      <c r="AH45" s="5">
        <v>-300000</v>
      </c>
      <c r="AI45" s="5">
        <v>-40000</v>
      </c>
      <c r="AJ45" s="21">
        <f t="shared" si="51"/>
        <v>-343000</v>
      </c>
    </row>
    <row r="46" spans="1:36" x14ac:dyDescent="0.2">
      <c r="A46" s="4" t="s">
        <v>143</v>
      </c>
      <c r="B46" s="5">
        <v>0</v>
      </c>
      <c r="C46" s="5">
        <v>0</v>
      </c>
      <c r="D46" s="5">
        <v>0</v>
      </c>
      <c r="E46" s="5">
        <v>0</v>
      </c>
      <c r="F46" s="21">
        <f t="shared" ref="F46" si="52">SUM(B46:E46)</f>
        <v>0</v>
      </c>
      <c r="G46" s="5">
        <v>0</v>
      </c>
      <c r="H46" s="5">
        <v>0</v>
      </c>
      <c r="I46" s="5">
        <v>0</v>
      </c>
      <c r="J46" s="5">
        <v>0</v>
      </c>
      <c r="K46" s="21">
        <f t="shared" ref="K46" si="53">SUM(G46:J46)</f>
        <v>0</v>
      </c>
      <c r="L46" s="5">
        <v>0</v>
      </c>
      <c r="M46" s="5">
        <v>0</v>
      </c>
      <c r="N46" s="5">
        <v>0</v>
      </c>
      <c r="O46" s="5">
        <v>0</v>
      </c>
      <c r="P46" s="21">
        <f t="shared" ref="P46" si="54">SUM(L46:O46)</f>
        <v>0</v>
      </c>
      <c r="Q46" s="5">
        <v>-4865</v>
      </c>
      <c r="R46" s="5">
        <v>0</v>
      </c>
      <c r="S46" s="5">
        <v>0</v>
      </c>
      <c r="T46" s="5">
        <v>0</v>
      </c>
      <c r="U46" s="21">
        <f t="shared" si="48"/>
        <v>-4865</v>
      </c>
      <c r="V46" s="5">
        <v>0</v>
      </c>
      <c r="W46" s="5">
        <v>0</v>
      </c>
      <c r="X46" s="5">
        <v>0</v>
      </c>
      <c r="Y46" s="5">
        <v>0</v>
      </c>
      <c r="Z46" s="21">
        <f t="shared" si="49"/>
        <v>0</v>
      </c>
      <c r="AA46" s="5">
        <v>0</v>
      </c>
      <c r="AB46" s="5">
        <v>0</v>
      </c>
      <c r="AC46" s="5">
        <v>0</v>
      </c>
      <c r="AD46" s="5">
        <v>0</v>
      </c>
      <c r="AE46" s="21">
        <f t="shared" si="50"/>
        <v>0</v>
      </c>
      <c r="AF46" s="5">
        <v>0</v>
      </c>
      <c r="AG46" s="5">
        <v>0</v>
      </c>
      <c r="AH46" s="5">
        <v>0</v>
      </c>
      <c r="AI46" s="5">
        <v>0</v>
      </c>
      <c r="AJ46" s="21">
        <f t="shared" si="51"/>
        <v>0</v>
      </c>
    </row>
    <row r="47" spans="1:36" x14ac:dyDescent="0.2">
      <c r="A47" s="4" t="s">
        <v>44</v>
      </c>
      <c r="B47" s="41">
        <f>-2836-101-241</f>
        <v>-3178</v>
      </c>
      <c r="C47" s="41">
        <f>-2836-102-137-B47</f>
        <v>103</v>
      </c>
      <c r="D47" s="41">
        <f>3075-3879</f>
        <v>-804</v>
      </c>
      <c r="E47" s="41">
        <f>-3911+3879</f>
        <v>-32</v>
      </c>
      <c r="F47" s="47">
        <f t="shared" si="45"/>
        <v>-3911</v>
      </c>
      <c r="G47" s="41">
        <v>-1258</v>
      </c>
      <c r="H47" s="41">
        <v>9</v>
      </c>
      <c r="I47" s="41">
        <v>-30</v>
      </c>
      <c r="J47" s="41">
        <f>-1835+1279</f>
        <v>-556</v>
      </c>
      <c r="K47" s="47">
        <f t="shared" si="46"/>
        <v>-1835</v>
      </c>
      <c r="L47" s="41">
        <f>-2429-2409</f>
        <v>-4838</v>
      </c>
      <c r="M47" s="41">
        <v>-97</v>
      </c>
      <c r="N47" s="41">
        <f>-15-25</f>
        <v>-40</v>
      </c>
      <c r="O47" s="41">
        <f>-4983+4975</f>
        <v>-8</v>
      </c>
      <c r="P47" s="47">
        <f t="shared" si="47"/>
        <v>-4983</v>
      </c>
      <c r="Q47" s="41">
        <f>-525+312</f>
        <v>-213</v>
      </c>
      <c r="R47" s="41">
        <v>-51</v>
      </c>
      <c r="S47" s="41">
        <v>-129</v>
      </c>
      <c r="T47" s="41">
        <v>-619</v>
      </c>
      <c r="U47" s="47">
        <f t="shared" si="48"/>
        <v>-1012</v>
      </c>
      <c r="V47" s="41">
        <v>-242</v>
      </c>
      <c r="W47" s="41">
        <v>-284</v>
      </c>
      <c r="X47" s="41">
        <v>-506</v>
      </c>
      <c r="Y47" s="41">
        <v>-735</v>
      </c>
      <c r="Z47" s="47">
        <f>SUM(V47:Y47)-1</f>
        <v>-1768</v>
      </c>
      <c r="AA47" s="41">
        <v>-591</v>
      </c>
      <c r="AB47" s="41">
        <v>-632</v>
      </c>
      <c r="AC47" s="41">
        <v>-2396</v>
      </c>
      <c r="AD47" s="41">
        <v>-3083</v>
      </c>
      <c r="AE47" s="47">
        <f>SUM(AA47:AD47)</f>
        <v>-6702</v>
      </c>
      <c r="AF47" s="41">
        <v>-1071</v>
      </c>
      <c r="AG47" s="41">
        <v>-1023</v>
      </c>
      <c r="AH47" s="41">
        <v>-4026</v>
      </c>
      <c r="AI47" s="41">
        <f>-7380+6120</f>
        <v>-1260</v>
      </c>
      <c r="AJ47" s="47">
        <f>SUM(AF47:AI47)</f>
        <v>-7380</v>
      </c>
    </row>
    <row r="48" spans="1:36" x14ac:dyDescent="0.2">
      <c r="A48" s="1" t="s">
        <v>192</v>
      </c>
      <c r="B48" s="8">
        <f t="shared" ref="B48:Q48" si="55">SUM(B39:B47)</f>
        <v>-25936</v>
      </c>
      <c r="C48" s="8">
        <f t="shared" si="55"/>
        <v>-63648</v>
      </c>
      <c r="D48" s="8">
        <f t="shared" si="55"/>
        <v>-15998</v>
      </c>
      <c r="E48" s="8">
        <f t="shared" si="55"/>
        <v>-15227</v>
      </c>
      <c r="F48" s="23">
        <f t="shared" si="55"/>
        <v>-120809</v>
      </c>
      <c r="G48" s="8">
        <f t="shared" si="55"/>
        <v>-16486</v>
      </c>
      <c r="H48" s="8">
        <f t="shared" si="55"/>
        <v>-20220</v>
      </c>
      <c r="I48" s="8">
        <f t="shared" si="55"/>
        <v>-15259</v>
      </c>
      <c r="J48" s="8">
        <f t="shared" si="55"/>
        <v>-22801</v>
      </c>
      <c r="K48" s="23">
        <f t="shared" si="55"/>
        <v>-74766</v>
      </c>
      <c r="L48" s="8">
        <f t="shared" si="55"/>
        <v>-50190</v>
      </c>
      <c r="M48" s="8">
        <f t="shared" si="55"/>
        <v>-25198</v>
      </c>
      <c r="N48" s="8">
        <f t="shared" si="55"/>
        <v>-25142</v>
      </c>
      <c r="O48" s="8">
        <f t="shared" si="55"/>
        <v>-71471</v>
      </c>
      <c r="P48" s="23">
        <f t="shared" si="55"/>
        <v>-172001</v>
      </c>
      <c r="Q48" s="8">
        <f t="shared" si="55"/>
        <v>-42301</v>
      </c>
      <c r="R48" s="8">
        <f t="shared" ref="R48:S48" si="56">SUM(R39:R47)</f>
        <v>-41947</v>
      </c>
      <c r="S48" s="8">
        <f t="shared" si="56"/>
        <v>-27017</v>
      </c>
      <c r="T48" s="8">
        <f t="shared" ref="T48:V48" si="57">SUM(T39:T47)</f>
        <v>-27507</v>
      </c>
      <c r="U48" s="23">
        <f t="shared" ref="U48" si="58">SUM(U39:U47)</f>
        <v>-138772</v>
      </c>
      <c r="V48" s="8">
        <f t="shared" si="57"/>
        <v>-39538</v>
      </c>
      <c r="W48" s="8">
        <f t="shared" ref="W48:X48" si="59">SUM(W39:W47)</f>
        <v>-30037</v>
      </c>
      <c r="X48" s="8">
        <f t="shared" si="59"/>
        <v>-27255</v>
      </c>
      <c r="Y48" s="8">
        <f t="shared" ref="Y48:AA48" si="60">SUM(Y39:Y47)</f>
        <v>-28154</v>
      </c>
      <c r="Z48" s="23">
        <f t="shared" si="60"/>
        <v>-124985</v>
      </c>
      <c r="AA48" s="8">
        <f t="shared" si="60"/>
        <v>-28075</v>
      </c>
      <c r="AB48" s="8">
        <f t="shared" ref="AB48:AC48" si="61">SUM(AB39:AB47)</f>
        <v>-28121</v>
      </c>
      <c r="AC48" s="8">
        <f t="shared" si="61"/>
        <v>-29885</v>
      </c>
      <c r="AD48" s="8">
        <f t="shared" ref="AD48:AE48" si="62">SUM(AD39:AD47)</f>
        <v>-315228</v>
      </c>
      <c r="AE48" s="23">
        <f t="shared" si="62"/>
        <v>-401309</v>
      </c>
      <c r="AF48" s="8">
        <f t="shared" ref="AF48:AG48" si="63">SUM(AF39:AF47)</f>
        <v>-34595</v>
      </c>
      <c r="AG48" s="8">
        <f t="shared" si="63"/>
        <v>-35703</v>
      </c>
      <c r="AH48" s="8">
        <f>SUM(AH39:AH47)</f>
        <v>-62427</v>
      </c>
      <c r="AI48" s="8">
        <f>SUM(AI39:AI47)</f>
        <v>-162837</v>
      </c>
      <c r="AJ48" s="23">
        <f t="shared" ref="AJ48" si="64">SUM(AJ39:AJ47)</f>
        <v>-295562</v>
      </c>
    </row>
    <row r="49" spans="1:36" x14ac:dyDescent="0.2">
      <c r="A49" s="1" t="s">
        <v>54</v>
      </c>
      <c r="B49" s="9">
        <f t="shared" ref="B49:AC49" si="65">B48+B36+B24</f>
        <v>-101</v>
      </c>
      <c r="C49" s="9">
        <f t="shared" si="65"/>
        <v>57554</v>
      </c>
      <c r="D49" s="9">
        <f t="shared" si="65"/>
        <v>7477</v>
      </c>
      <c r="E49" s="9">
        <f t="shared" si="65"/>
        <v>9729</v>
      </c>
      <c r="F49" s="24">
        <f t="shared" si="65"/>
        <v>74659</v>
      </c>
      <c r="G49" s="9">
        <f t="shared" si="65"/>
        <v>19080</v>
      </c>
      <c r="H49" s="9">
        <f t="shared" si="65"/>
        <v>8660</v>
      </c>
      <c r="I49" s="9">
        <f t="shared" si="65"/>
        <v>6479</v>
      </c>
      <c r="J49" s="9">
        <f t="shared" si="65"/>
        <v>3654</v>
      </c>
      <c r="K49" s="24">
        <f t="shared" si="65"/>
        <v>37873</v>
      </c>
      <c r="L49" s="9">
        <f t="shared" si="65"/>
        <v>-18117</v>
      </c>
      <c r="M49" s="9">
        <f t="shared" si="65"/>
        <v>23379</v>
      </c>
      <c r="N49" s="9">
        <f t="shared" si="65"/>
        <v>15524</v>
      </c>
      <c r="O49" s="9">
        <f t="shared" si="65"/>
        <v>-61802</v>
      </c>
      <c r="P49" s="24">
        <f t="shared" si="65"/>
        <v>-41016</v>
      </c>
      <c r="Q49" s="9">
        <f t="shared" si="65"/>
        <v>28939</v>
      </c>
      <c r="R49" s="9">
        <f t="shared" si="65"/>
        <v>-10410</v>
      </c>
      <c r="S49" s="9">
        <f t="shared" si="65"/>
        <v>-2180</v>
      </c>
      <c r="T49" s="9">
        <f t="shared" si="65"/>
        <v>-11536</v>
      </c>
      <c r="U49" s="24">
        <f t="shared" si="65"/>
        <v>4813</v>
      </c>
      <c r="V49" s="9">
        <f t="shared" si="65"/>
        <v>-2434</v>
      </c>
      <c r="W49" s="9">
        <f t="shared" si="65"/>
        <v>1114</v>
      </c>
      <c r="X49" s="9">
        <f t="shared" si="65"/>
        <v>67070</v>
      </c>
      <c r="Y49" s="9">
        <f t="shared" si="65"/>
        <v>102336</v>
      </c>
      <c r="Z49" s="24">
        <f t="shared" si="65"/>
        <v>168086</v>
      </c>
      <c r="AA49" s="9">
        <f t="shared" si="65"/>
        <v>130361</v>
      </c>
      <c r="AB49" s="9">
        <f t="shared" si="65"/>
        <v>129329</v>
      </c>
      <c r="AC49" s="9">
        <f t="shared" si="65"/>
        <v>80737</v>
      </c>
      <c r="AD49" s="9">
        <f t="shared" ref="AD49:AE49" si="66">AD48+AD36+AD24</f>
        <v>-295995</v>
      </c>
      <c r="AE49" s="24">
        <f t="shared" si="66"/>
        <v>44432</v>
      </c>
      <c r="AF49" s="9">
        <f t="shared" ref="AF49" si="67">AF48+AF36+AF24</f>
        <v>178582</v>
      </c>
      <c r="AG49" s="9">
        <f>AG48+AG36+AG24</f>
        <v>40540</v>
      </c>
      <c r="AH49" s="9">
        <f>AH48+AH36+AH24</f>
        <v>-21205</v>
      </c>
      <c r="AI49" s="9">
        <f>AI48+AI36+AI24</f>
        <v>-149098</v>
      </c>
      <c r="AJ49" s="24">
        <f t="shared" ref="AJ49" si="68">AJ48+AJ36+AJ24</f>
        <v>48819</v>
      </c>
    </row>
    <row r="50" spans="1:36" x14ac:dyDescent="0.2">
      <c r="A50" s="1" t="s">
        <v>55</v>
      </c>
      <c r="B50" s="5">
        <v>7925</v>
      </c>
      <c r="C50" s="5">
        <f>B51</f>
        <v>7824</v>
      </c>
      <c r="D50" s="5">
        <f>C51</f>
        <v>65378</v>
      </c>
      <c r="E50" s="5">
        <f>D51</f>
        <v>72855</v>
      </c>
      <c r="F50" s="21">
        <f>B50</f>
        <v>7925</v>
      </c>
      <c r="G50" s="5">
        <f>F51</f>
        <v>82584</v>
      </c>
      <c r="H50" s="5">
        <f>G51</f>
        <v>101664</v>
      </c>
      <c r="I50" s="5">
        <f>H51</f>
        <v>110324</v>
      </c>
      <c r="J50" s="5">
        <f>I51</f>
        <v>116803</v>
      </c>
      <c r="K50" s="21">
        <f>G50</f>
        <v>82584</v>
      </c>
      <c r="L50" s="5">
        <f>K51</f>
        <v>120457</v>
      </c>
      <c r="M50" s="5">
        <f>L51</f>
        <v>102340</v>
      </c>
      <c r="N50" s="5">
        <f>M51</f>
        <v>125719</v>
      </c>
      <c r="O50" s="5">
        <f>N51</f>
        <v>141243</v>
      </c>
      <c r="P50" s="21">
        <f>L50</f>
        <v>120457</v>
      </c>
      <c r="Q50" s="5">
        <f>P51</f>
        <v>79441</v>
      </c>
      <c r="R50" s="5">
        <f>Q51</f>
        <v>108380</v>
      </c>
      <c r="S50" s="5">
        <f>R51</f>
        <v>97970</v>
      </c>
      <c r="T50" s="5">
        <f>S51</f>
        <v>95790</v>
      </c>
      <c r="U50" s="21">
        <f>Q50</f>
        <v>79441</v>
      </c>
      <c r="V50" s="5">
        <f>U51</f>
        <v>84254</v>
      </c>
      <c r="W50" s="5">
        <f>V51</f>
        <v>81820</v>
      </c>
      <c r="X50" s="5">
        <f>W51</f>
        <v>82934</v>
      </c>
      <c r="Y50" s="5">
        <f>X51</f>
        <v>150004</v>
      </c>
      <c r="Z50" s="21">
        <f>V50</f>
        <v>84254</v>
      </c>
      <c r="AA50" s="5">
        <f>Z51</f>
        <v>252340</v>
      </c>
      <c r="AB50" s="5">
        <f>AA51</f>
        <v>382701</v>
      </c>
      <c r="AC50" s="5">
        <f>AB51</f>
        <v>512030</v>
      </c>
      <c r="AD50" s="5">
        <f>AC51</f>
        <v>592767</v>
      </c>
      <c r="AE50" s="21">
        <f>AA50</f>
        <v>252340</v>
      </c>
      <c r="AF50" s="5">
        <f>AE51</f>
        <v>296772</v>
      </c>
      <c r="AG50" s="5">
        <f>AF51</f>
        <v>475354</v>
      </c>
      <c r="AH50" s="5">
        <f>AG51</f>
        <v>515894</v>
      </c>
      <c r="AI50" s="5">
        <f>AH51</f>
        <v>494689</v>
      </c>
      <c r="AJ50" s="21">
        <f>+AF50</f>
        <v>296772</v>
      </c>
    </row>
    <row r="51" spans="1:36" ht="13.5" thickBot="1" x14ac:dyDescent="0.25">
      <c r="A51" s="1" t="s">
        <v>147</v>
      </c>
      <c r="B51" s="10">
        <f t="shared" ref="B51:O51" si="69">+B49+B50</f>
        <v>7824</v>
      </c>
      <c r="C51" s="10">
        <f t="shared" si="69"/>
        <v>65378</v>
      </c>
      <c r="D51" s="10">
        <f t="shared" si="69"/>
        <v>72855</v>
      </c>
      <c r="E51" s="10">
        <f t="shared" si="69"/>
        <v>82584</v>
      </c>
      <c r="F51" s="25">
        <f t="shared" si="69"/>
        <v>82584</v>
      </c>
      <c r="G51" s="10">
        <f t="shared" si="69"/>
        <v>101664</v>
      </c>
      <c r="H51" s="10">
        <f t="shared" si="69"/>
        <v>110324</v>
      </c>
      <c r="I51" s="10">
        <f t="shared" si="69"/>
        <v>116803</v>
      </c>
      <c r="J51" s="10">
        <f t="shared" si="69"/>
        <v>120457</v>
      </c>
      <c r="K51" s="25">
        <f t="shared" si="69"/>
        <v>120457</v>
      </c>
      <c r="L51" s="10">
        <f t="shared" si="69"/>
        <v>102340</v>
      </c>
      <c r="M51" s="10">
        <f t="shared" si="69"/>
        <v>125719</v>
      </c>
      <c r="N51" s="10">
        <f t="shared" si="69"/>
        <v>141243</v>
      </c>
      <c r="O51" s="10">
        <f t="shared" si="69"/>
        <v>79441</v>
      </c>
      <c r="P51" s="25">
        <f t="shared" ref="P51:Q51" si="70">+P49+P50</f>
        <v>79441</v>
      </c>
      <c r="Q51" s="10">
        <f t="shared" si="70"/>
        <v>108380</v>
      </c>
      <c r="R51" s="10">
        <f t="shared" ref="R51:S51" si="71">+R49+R50</f>
        <v>97970</v>
      </c>
      <c r="S51" s="10">
        <f t="shared" si="71"/>
        <v>95790</v>
      </c>
      <c r="T51" s="10">
        <f t="shared" ref="T51:U51" si="72">+T49+T50</f>
        <v>84254</v>
      </c>
      <c r="U51" s="25">
        <f t="shared" si="72"/>
        <v>84254</v>
      </c>
      <c r="V51" s="10">
        <f t="shared" ref="V51:W51" si="73">+V49+V50</f>
        <v>81820</v>
      </c>
      <c r="W51" s="10">
        <f t="shared" si="73"/>
        <v>82934</v>
      </c>
      <c r="X51" s="10">
        <f t="shared" ref="X51:AA51" si="74">+X49+X50</f>
        <v>150004</v>
      </c>
      <c r="Y51" s="10">
        <f t="shared" si="74"/>
        <v>252340</v>
      </c>
      <c r="Z51" s="25">
        <f t="shared" si="74"/>
        <v>252340</v>
      </c>
      <c r="AA51" s="10">
        <f t="shared" si="74"/>
        <v>382701</v>
      </c>
      <c r="AB51" s="10">
        <f t="shared" ref="AB51:AC51" si="75">+AB49+AB50</f>
        <v>512030</v>
      </c>
      <c r="AC51" s="10">
        <f t="shared" si="75"/>
        <v>592767</v>
      </c>
      <c r="AD51" s="10">
        <f t="shared" ref="AD51" si="76">+AD49+AD50</f>
        <v>296772</v>
      </c>
      <c r="AE51" s="25">
        <f>+AE49+AE50</f>
        <v>296772</v>
      </c>
      <c r="AF51" s="10">
        <f t="shared" ref="AF51" si="77">+AF49+AF50</f>
        <v>475354</v>
      </c>
      <c r="AG51" s="10">
        <f>+AG49+AG50</f>
        <v>515894</v>
      </c>
      <c r="AH51" s="10">
        <f>+AH49+AH50</f>
        <v>494689</v>
      </c>
      <c r="AI51" s="10">
        <f>+AI49+AI50</f>
        <v>345591</v>
      </c>
      <c r="AJ51" s="25">
        <f>+AJ49+AJ50</f>
        <v>345591</v>
      </c>
    </row>
    <row r="52" spans="1:36" ht="13.5" thickTop="1" x14ac:dyDescent="0.2">
      <c r="A52" s="7"/>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x14ac:dyDescent="0.2">
      <c r="A53" s="32" t="s">
        <v>56</v>
      </c>
      <c r="B53" s="3"/>
      <c r="C53" s="3"/>
      <c r="D53" s="3"/>
      <c r="E53" s="3"/>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x14ac:dyDescent="0.2">
      <c r="A54" s="1" t="s">
        <v>57</v>
      </c>
      <c r="B54" s="3"/>
      <c r="C54" s="3"/>
      <c r="D54" s="3"/>
      <c r="E54" s="3"/>
      <c r="F54" s="20"/>
      <c r="G54" s="3"/>
      <c r="H54" s="3"/>
      <c r="I54" s="3"/>
      <c r="J54" s="3"/>
      <c r="K54" s="20"/>
      <c r="L54" s="3"/>
      <c r="M54" s="3"/>
      <c r="N54" s="3"/>
      <c r="O54" s="3"/>
      <c r="P54" s="20"/>
      <c r="Q54" s="3"/>
      <c r="R54" s="3"/>
      <c r="S54" s="3"/>
      <c r="T54" s="3"/>
      <c r="U54" s="20"/>
      <c r="V54" s="3"/>
      <c r="W54" s="3"/>
      <c r="X54" s="3"/>
      <c r="Y54" s="3"/>
      <c r="Z54" s="20"/>
      <c r="AA54" s="3"/>
      <c r="AB54" s="3"/>
      <c r="AC54" s="3"/>
      <c r="AD54" s="3"/>
      <c r="AE54" s="20"/>
      <c r="AF54" s="3"/>
      <c r="AG54" s="3"/>
      <c r="AH54" s="3"/>
      <c r="AI54" s="3"/>
      <c r="AJ54" s="20"/>
    </row>
    <row r="55" spans="1:36" x14ac:dyDescent="0.2">
      <c r="A55" s="34" t="s">
        <v>58</v>
      </c>
      <c r="B55" s="11"/>
      <c r="C55" s="11"/>
      <c r="D55" s="11"/>
      <c r="E55" s="11"/>
      <c r="F55" s="26">
        <v>28051</v>
      </c>
      <c r="G55" s="11"/>
      <c r="H55" s="11"/>
      <c r="I55" s="11"/>
      <c r="J55" s="11"/>
      <c r="K55" s="26">
        <v>26125</v>
      </c>
      <c r="L55" s="11"/>
      <c r="M55" s="11"/>
      <c r="N55" s="11"/>
      <c r="O55" s="11"/>
      <c r="P55" s="26">
        <v>34490</v>
      </c>
      <c r="Q55" s="11"/>
      <c r="R55" s="11"/>
      <c r="S55" s="11"/>
      <c r="T55" s="11"/>
      <c r="U55" s="26">
        <v>32282</v>
      </c>
      <c r="V55" s="11"/>
      <c r="W55" s="11"/>
      <c r="X55" s="11"/>
      <c r="Y55" s="11"/>
      <c r="Z55" s="26">
        <v>28518</v>
      </c>
      <c r="AA55" s="11"/>
      <c r="AB55" s="11"/>
      <c r="AC55" s="11"/>
      <c r="AD55" s="11"/>
      <c r="AE55" s="26">
        <v>27934</v>
      </c>
      <c r="AF55" s="11"/>
      <c r="AG55" s="11"/>
      <c r="AH55" s="11"/>
      <c r="AI55" s="11"/>
      <c r="AJ55" s="26">
        <v>26254</v>
      </c>
    </row>
    <row r="56" spans="1:36" x14ac:dyDescent="0.2">
      <c r="A56" s="34" t="s">
        <v>59</v>
      </c>
      <c r="B56" s="11"/>
      <c r="C56" s="11"/>
      <c r="D56" s="11"/>
      <c r="E56" s="11"/>
      <c r="F56" s="26">
        <v>-8081</v>
      </c>
      <c r="G56" s="11"/>
      <c r="H56" s="11"/>
      <c r="I56" s="11"/>
      <c r="J56" s="11"/>
      <c r="K56" s="26">
        <v>15845</v>
      </c>
      <c r="L56" s="11"/>
      <c r="M56" s="11"/>
      <c r="N56" s="11"/>
      <c r="O56" s="11"/>
      <c r="P56" s="26">
        <v>10800</v>
      </c>
      <c r="Q56" s="11"/>
      <c r="R56" s="11"/>
      <c r="S56" s="11"/>
      <c r="T56" s="11"/>
      <c r="U56" s="26">
        <v>7148</v>
      </c>
      <c r="V56" s="11"/>
      <c r="W56" s="11"/>
      <c r="X56" s="11"/>
      <c r="Y56" s="11"/>
      <c r="Z56" s="26">
        <v>25790</v>
      </c>
      <c r="AA56" s="11"/>
      <c r="AB56" s="11"/>
      <c r="AC56" s="11"/>
      <c r="AD56" s="11"/>
      <c r="AE56" s="26">
        <v>98670</v>
      </c>
      <c r="AF56" s="11"/>
      <c r="AG56" s="11"/>
      <c r="AH56" s="11"/>
      <c r="AI56" s="11"/>
      <c r="AJ56" s="26">
        <v>70000</v>
      </c>
    </row>
    <row r="57" spans="1:36" x14ac:dyDescent="0.2">
      <c r="A57" s="34"/>
      <c r="B57" s="11"/>
      <c r="C57" s="11"/>
      <c r="D57" s="11"/>
      <c r="E57" s="11"/>
      <c r="F57" s="26"/>
      <c r="G57" s="11"/>
      <c r="H57" s="11"/>
      <c r="I57" s="11"/>
      <c r="J57" s="11"/>
      <c r="K57" s="26"/>
      <c r="L57" s="11"/>
      <c r="M57" s="11"/>
      <c r="N57" s="11"/>
      <c r="O57" s="11"/>
      <c r="P57" s="26"/>
      <c r="Q57" s="11"/>
      <c r="R57" s="11"/>
      <c r="S57" s="11"/>
      <c r="T57" s="11"/>
      <c r="U57" s="26"/>
      <c r="V57" s="11"/>
      <c r="W57" s="11"/>
      <c r="X57" s="11"/>
      <c r="Y57" s="11"/>
      <c r="Z57" s="26"/>
      <c r="AA57" s="11"/>
      <c r="AB57" s="11"/>
      <c r="AC57" s="11"/>
      <c r="AD57" s="11"/>
      <c r="AE57" s="26"/>
      <c r="AF57" s="11"/>
      <c r="AG57" s="11"/>
      <c r="AH57" s="11"/>
      <c r="AI57" s="11"/>
      <c r="AJ57" s="26"/>
    </row>
    <row r="58" spans="1:36" ht="25.5" x14ac:dyDescent="0.2">
      <c r="A58" s="50" t="s">
        <v>103</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1:36" x14ac:dyDescent="0.2">
      <c r="A59" s="43" t="s">
        <v>15</v>
      </c>
      <c r="B59" s="11">
        <f>'Balance Sheets'!B8</f>
        <v>7824</v>
      </c>
      <c r="C59" s="11">
        <f>'Balance Sheets'!C8</f>
        <v>65378</v>
      </c>
      <c r="D59" s="11">
        <f>'Balance Sheets'!D8</f>
        <v>72855</v>
      </c>
      <c r="E59" s="11">
        <f>'Balance Sheets'!E8</f>
        <v>82584</v>
      </c>
      <c r="F59" s="26">
        <f>E59</f>
        <v>82584</v>
      </c>
      <c r="G59" s="11">
        <f>'Balance Sheets'!F8</f>
        <v>101664</v>
      </c>
      <c r="H59" s="11">
        <f>'Balance Sheets'!G8</f>
        <v>110324</v>
      </c>
      <c r="I59" s="11">
        <f>'Balance Sheets'!H8</f>
        <v>116803</v>
      </c>
      <c r="J59" s="11">
        <f>'Balance Sheets'!I8</f>
        <v>120457</v>
      </c>
      <c r="K59" s="26">
        <f>J59</f>
        <v>120457</v>
      </c>
      <c r="L59" s="11">
        <f>'Balance Sheets'!J8</f>
        <v>102340</v>
      </c>
      <c r="M59" s="11">
        <f>'Balance Sheets'!K8</f>
        <v>125719</v>
      </c>
      <c r="N59" s="11">
        <f>'Balance Sheets'!L8</f>
        <v>137535</v>
      </c>
      <c r="O59" s="11">
        <f>'Balance Sheets'!M8</f>
        <v>76639</v>
      </c>
      <c r="P59" s="26">
        <f>O59</f>
        <v>76639</v>
      </c>
      <c r="Q59" s="11">
        <v>104787</v>
      </c>
      <c r="R59" s="11">
        <v>97970</v>
      </c>
      <c r="S59" s="11">
        <v>94747</v>
      </c>
      <c r="T59" s="11">
        <v>83310</v>
      </c>
      <c r="U59" s="26">
        <f>T59</f>
        <v>83310</v>
      </c>
      <c r="V59" s="11">
        <v>79484</v>
      </c>
      <c r="W59" s="11">
        <v>80987</v>
      </c>
      <c r="X59" s="11">
        <v>148919</v>
      </c>
      <c r="Y59" s="11">
        <v>252340</v>
      </c>
      <c r="Z59" s="26">
        <f>Y59</f>
        <v>252340</v>
      </c>
      <c r="AA59" s="11">
        <v>382032</v>
      </c>
      <c r="AB59" s="11">
        <v>512030</v>
      </c>
      <c r="AC59" s="11">
        <v>592767</v>
      </c>
      <c r="AD59" s="11">
        <v>296151</v>
      </c>
      <c r="AE59" s="26">
        <f>AD59</f>
        <v>296151</v>
      </c>
      <c r="AF59" s="11">
        <v>470918</v>
      </c>
      <c r="AG59" s="11">
        <v>511157</v>
      </c>
      <c r="AH59" s="11">
        <v>484018</v>
      </c>
      <c r="AI59" s="11">
        <v>343809</v>
      </c>
      <c r="AJ59" s="26">
        <f>AI59</f>
        <v>343809</v>
      </c>
    </row>
    <row r="60" spans="1:36" x14ac:dyDescent="0.2">
      <c r="A60" s="43" t="s">
        <v>146</v>
      </c>
      <c r="B60" s="5">
        <v>0</v>
      </c>
      <c r="C60" s="5">
        <v>0</v>
      </c>
      <c r="D60" s="5">
        <v>0</v>
      </c>
      <c r="E60" s="5">
        <v>0</v>
      </c>
      <c r="F60" s="21">
        <v>0</v>
      </c>
      <c r="G60" s="5">
        <v>0</v>
      </c>
      <c r="H60" s="5">
        <v>0</v>
      </c>
      <c r="I60" s="5">
        <v>0</v>
      </c>
      <c r="J60" s="5">
        <v>0</v>
      </c>
      <c r="K60" s="21">
        <v>0</v>
      </c>
      <c r="L60" s="5">
        <v>0</v>
      </c>
      <c r="M60" s="5">
        <v>0</v>
      </c>
      <c r="N60" s="5">
        <v>3708</v>
      </c>
      <c r="O60" s="5">
        <v>2802</v>
      </c>
      <c r="P60" s="21">
        <f>O60</f>
        <v>2802</v>
      </c>
      <c r="Q60" s="5">
        <v>3593</v>
      </c>
      <c r="R60" s="5">
        <v>0</v>
      </c>
      <c r="S60" s="5">
        <v>1043</v>
      </c>
      <c r="T60" s="5">
        <v>944</v>
      </c>
      <c r="U60" s="21">
        <f>T60</f>
        <v>944</v>
      </c>
      <c r="V60" s="5">
        <v>2336</v>
      </c>
      <c r="W60" s="5">
        <v>1947</v>
      </c>
      <c r="X60" s="5">
        <v>1085</v>
      </c>
      <c r="Y60" s="5">
        <v>0</v>
      </c>
      <c r="Z60" s="21">
        <f>Y60</f>
        <v>0</v>
      </c>
      <c r="AA60" s="5">
        <v>669</v>
      </c>
      <c r="AB60" s="5">
        <v>0</v>
      </c>
      <c r="AC60" s="5">
        <v>0</v>
      </c>
      <c r="AD60" s="5">
        <v>621</v>
      </c>
      <c r="AE60" s="21">
        <f>AD60</f>
        <v>621</v>
      </c>
      <c r="AF60" s="5">
        <v>4436</v>
      </c>
      <c r="AG60" s="5">
        <v>4737</v>
      </c>
      <c r="AH60" s="5">
        <v>10671</v>
      </c>
      <c r="AI60" s="5">
        <v>1782</v>
      </c>
      <c r="AJ60" s="21">
        <f>AI60</f>
        <v>1782</v>
      </c>
    </row>
    <row r="61" spans="1:36" ht="13.5" thickBot="1" x14ac:dyDescent="0.25">
      <c r="A61" s="49" t="s">
        <v>60</v>
      </c>
      <c r="B61" s="44">
        <f t="shared" ref="B61:N61" si="78">B59+B60</f>
        <v>7824</v>
      </c>
      <c r="C61" s="44">
        <f t="shared" si="78"/>
        <v>65378</v>
      </c>
      <c r="D61" s="44">
        <f t="shared" si="78"/>
        <v>72855</v>
      </c>
      <c r="E61" s="44">
        <f t="shared" si="78"/>
        <v>82584</v>
      </c>
      <c r="F61" s="48">
        <f t="shared" si="78"/>
        <v>82584</v>
      </c>
      <c r="G61" s="44">
        <f t="shared" si="78"/>
        <v>101664</v>
      </c>
      <c r="H61" s="44">
        <f t="shared" si="78"/>
        <v>110324</v>
      </c>
      <c r="I61" s="44">
        <f t="shared" si="78"/>
        <v>116803</v>
      </c>
      <c r="J61" s="44">
        <f t="shared" si="78"/>
        <v>120457</v>
      </c>
      <c r="K61" s="48">
        <f t="shared" si="78"/>
        <v>120457</v>
      </c>
      <c r="L61" s="44">
        <f t="shared" si="78"/>
        <v>102340</v>
      </c>
      <c r="M61" s="44">
        <f t="shared" si="78"/>
        <v>125719</v>
      </c>
      <c r="N61" s="44">
        <f t="shared" si="78"/>
        <v>141243</v>
      </c>
      <c r="O61" s="44">
        <f>O59+O60</f>
        <v>79441</v>
      </c>
      <c r="P61" s="48">
        <f t="shared" ref="P61:Q61" si="79">P59+P60</f>
        <v>79441</v>
      </c>
      <c r="Q61" s="44">
        <f t="shared" si="79"/>
        <v>108380</v>
      </c>
      <c r="R61" s="44">
        <f t="shared" ref="R61:S61" si="80">R59+R60</f>
        <v>97970</v>
      </c>
      <c r="S61" s="44">
        <f t="shared" si="80"/>
        <v>95790</v>
      </c>
      <c r="T61" s="44">
        <f t="shared" ref="T61:U61" si="81">T59+T60</f>
        <v>84254</v>
      </c>
      <c r="U61" s="48">
        <f t="shared" si="81"/>
        <v>84254</v>
      </c>
      <c r="V61" s="44">
        <f t="shared" ref="V61:W61" si="82">V59+V60</f>
        <v>81820</v>
      </c>
      <c r="W61" s="44">
        <f t="shared" si="82"/>
        <v>82934</v>
      </c>
      <c r="X61" s="44">
        <f t="shared" ref="X61:AA61" si="83">X59+X60</f>
        <v>150004</v>
      </c>
      <c r="Y61" s="44">
        <f t="shared" si="83"/>
        <v>252340</v>
      </c>
      <c r="Z61" s="48">
        <f t="shared" si="83"/>
        <v>252340</v>
      </c>
      <c r="AA61" s="44">
        <f t="shared" si="83"/>
        <v>382701</v>
      </c>
      <c r="AB61" s="44">
        <f t="shared" ref="AB61:AC61" si="84">AB59+AB60</f>
        <v>512030</v>
      </c>
      <c r="AC61" s="44">
        <f t="shared" si="84"/>
        <v>592767</v>
      </c>
      <c r="AD61" s="44">
        <f t="shared" ref="AD61:AE61" si="85">AD59+AD60</f>
        <v>296772</v>
      </c>
      <c r="AE61" s="48">
        <f t="shared" si="85"/>
        <v>296772</v>
      </c>
      <c r="AF61" s="44">
        <f t="shared" ref="AF61:AG61" si="86">AF59+AF60</f>
        <v>475354</v>
      </c>
      <c r="AG61" s="44">
        <f t="shared" si="86"/>
        <v>515894</v>
      </c>
      <c r="AH61" s="44">
        <f t="shared" ref="AH61:AI61" si="87">AH59+AH60</f>
        <v>494689</v>
      </c>
      <c r="AI61" s="44">
        <f t="shared" si="87"/>
        <v>345591</v>
      </c>
      <c r="AJ61" s="48">
        <f t="shared" ref="AJ61" si="88">AJ59+AJ60</f>
        <v>345591</v>
      </c>
    </row>
    <row r="62" spans="1:36" ht="13.5" thickTop="1" x14ac:dyDescent="0.2">
      <c r="A62" s="32"/>
      <c r="B62" s="3"/>
      <c r="C62" s="3"/>
      <c r="D62" s="3"/>
      <c r="E62" s="3"/>
      <c r="F62" s="20"/>
      <c r="G62" s="3"/>
      <c r="H62" s="3"/>
      <c r="I62" s="3"/>
      <c r="J62" s="3"/>
      <c r="K62" s="20"/>
      <c r="L62" s="3"/>
      <c r="M62" s="3"/>
      <c r="N62" s="3"/>
      <c r="O62" s="3"/>
      <c r="P62" s="20"/>
      <c r="Q62" s="3"/>
      <c r="R62" s="3"/>
      <c r="S62" s="3"/>
      <c r="T62" s="3"/>
      <c r="U62" s="20"/>
      <c r="V62" s="3"/>
      <c r="W62" s="3"/>
      <c r="X62" s="3"/>
      <c r="Y62" s="3"/>
      <c r="Z62" s="20"/>
      <c r="AA62" s="3"/>
      <c r="AB62" s="3"/>
      <c r="AC62" s="3"/>
      <c r="AD62" s="3"/>
      <c r="AE62" s="20"/>
      <c r="AF62" s="3"/>
      <c r="AG62" s="3"/>
      <c r="AH62" s="3"/>
      <c r="AI62" s="3"/>
      <c r="AJ62" s="20"/>
    </row>
    <row r="63" spans="1:36" x14ac:dyDescent="0.2">
      <c r="A63" s="42" t="s">
        <v>102</v>
      </c>
      <c r="B63" s="3"/>
      <c r="C63" s="3"/>
      <c r="D63" s="3"/>
      <c r="E63" s="3"/>
      <c r="F63" s="20"/>
      <c r="G63" s="3"/>
      <c r="H63" s="3"/>
      <c r="I63" s="3"/>
      <c r="J63" s="3"/>
      <c r="K63" s="20"/>
      <c r="L63" s="3"/>
      <c r="M63" s="3"/>
      <c r="N63" s="3"/>
      <c r="O63" s="3"/>
      <c r="P63" s="20"/>
      <c r="Q63" s="3"/>
      <c r="R63" s="3"/>
      <c r="S63" s="3"/>
      <c r="T63" s="3"/>
      <c r="U63" s="20"/>
      <c r="V63" s="3"/>
      <c r="W63" s="3"/>
      <c r="X63" s="3"/>
      <c r="Y63" s="3"/>
      <c r="Z63" s="20"/>
      <c r="AA63" s="3"/>
      <c r="AB63" s="3"/>
      <c r="AC63" s="3"/>
      <c r="AD63" s="3"/>
      <c r="AE63" s="20"/>
      <c r="AF63" s="3"/>
      <c r="AG63" s="3"/>
      <c r="AH63" s="3"/>
      <c r="AI63" s="3"/>
      <c r="AJ63" s="20"/>
    </row>
    <row r="64" spans="1:36" x14ac:dyDescent="0.2">
      <c r="A64" s="43" t="s">
        <v>45</v>
      </c>
      <c r="B64" s="11">
        <f t="shared" ref="B64:AC64" si="89">B24</f>
        <v>28893</v>
      </c>
      <c r="C64" s="11">
        <f t="shared" si="89"/>
        <v>16768</v>
      </c>
      <c r="D64" s="11">
        <f t="shared" si="89"/>
        <v>28729</v>
      </c>
      <c r="E64" s="11">
        <f t="shared" si="89"/>
        <v>27727</v>
      </c>
      <c r="F64" s="26">
        <f t="shared" si="89"/>
        <v>102117</v>
      </c>
      <c r="G64" s="11">
        <f t="shared" si="89"/>
        <v>41949</v>
      </c>
      <c r="H64" s="11">
        <f t="shared" si="89"/>
        <v>37434</v>
      </c>
      <c r="I64" s="11">
        <f t="shared" si="89"/>
        <v>49962</v>
      </c>
      <c r="J64" s="11">
        <f t="shared" si="89"/>
        <v>33314</v>
      </c>
      <c r="K64" s="26">
        <f t="shared" si="89"/>
        <v>162659</v>
      </c>
      <c r="L64" s="11">
        <f t="shared" si="89"/>
        <v>34914</v>
      </c>
      <c r="M64" s="11">
        <f t="shared" si="89"/>
        <v>60441</v>
      </c>
      <c r="N64" s="11">
        <f t="shared" si="89"/>
        <v>53013</v>
      </c>
      <c r="O64" s="11">
        <f t="shared" si="89"/>
        <v>30526</v>
      </c>
      <c r="P64" s="26">
        <f t="shared" si="89"/>
        <v>178894</v>
      </c>
      <c r="Q64" s="11">
        <f t="shared" si="89"/>
        <v>19067</v>
      </c>
      <c r="R64" s="11">
        <f t="shared" si="89"/>
        <v>48454</v>
      </c>
      <c r="S64" s="11">
        <f t="shared" si="89"/>
        <v>37906</v>
      </c>
      <c r="T64" s="11">
        <f t="shared" si="89"/>
        <v>33641</v>
      </c>
      <c r="U64" s="26">
        <f t="shared" si="89"/>
        <v>139068</v>
      </c>
      <c r="V64" s="11">
        <f t="shared" si="89"/>
        <v>48138</v>
      </c>
      <c r="W64" s="11">
        <f t="shared" si="89"/>
        <v>39805</v>
      </c>
      <c r="X64" s="11">
        <f t="shared" si="89"/>
        <v>102902</v>
      </c>
      <c r="Y64" s="11">
        <f t="shared" si="89"/>
        <v>144418</v>
      </c>
      <c r="Z64" s="26">
        <f t="shared" si="89"/>
        <v>335263</v>
      </c>
      <c r="AA64" s="11">
        <f t="shared" si="89"/>
        <v>169965</v>
      </c>
      <c r="AB64" s="11">
        <f t="shared" si="89"/>
        <v>171375</v>
      </c>
      <c r="AC64" s="11">
        <f t="shared" si="89"/>
        <v>111902</v>
      </c>
      <c r="AD64" s="11">
        <f t="shared" ref="AD64:AE64" si="90">AD24</f>
        <v>51644</v>
      </c>
      <c r="AE64" s="26">
        <f t="shared" si="90"/>
        <v>504886</v>
      </c>
      <c r="AF64" s="11">
        <f t="shared" ref="AF64" si="91">AF24</f>
        <v>230299</v>
      </c>
      <c r="AG64" s="11">
        <f>AG24</f>
        <v>147887</v>
      </c>
      <c r="AH64" s="11">
        <f>AH24</f>
        <v>80251</v>
      </c>
      <c r="AI64" s="11">
        <f>AI24</f>
        <v>33464</v>
      </c>
      <c r="AJ64" s="26">
        <f t="shared" ref="AJ64" si="92">AJ24</f>
        <v>491901</v>
      </c>
    </row>
    <row r="65" spans="1:36" x14ac:dyDescent="0.2">
      <c r="A65" s="43" t="s">
        <v>149</v>
      </c>
      <c r="B65" s="5">
        <f t="shared" ref="B65:AC65" si="93">B27</f>
        <v>-932</v>
      </c>
      <c r="C65" s="5">
        <f t="shared" si="93"/>
        <v>-2556</v>
      </c>
      <c r="D65" s="5">
        <f t="shared" si="93"/>
        <v>-774</v>
      </c>
      <c r="E65" s="5">
        <f t="shared" si="93"/>
        <v>-1604</v>
      </c>
      <c r="F65" s="21">
        <f t="shared" si="93"/>
        <v>-5866</v>
      </c>
      <c r="G65" s="5">
        <f t="shared" si="93"/>
        <v>-3636</v>
      </c>
      <c r="H65" s="5">
        <f t="shared" si="93"/>
        <v>-2303</v>
      </c>
      <c r="I65" s="5">
        <f t="shared" si="93"/>
        <v>-3506</v>
      </c>
      <c r="J65" s="5">
        <f t="shared" si="93"/>
        <v>-3410</v>
      </c>
      <c r="K65" s="21">
        <f t="shared" si="93"/>
        <v>-12855</v>
      </c>
      <c r="L65" s="5">
        <f t="shared" si="93"/>
        <v>-3632</v>
      </c>
      <c r="M65" s="5">
        <f t="shared" si="93"/>
        <v>-7741</v>
      </c>
      <c r="N65" s="5">
        <f t="shared" si="93"/>
        <v>-7123</v>
      </c>
      <c r="O65" s="5">
        <f t="shared" si="93"/>
        <v>-11384</v>
      </c>
      <c r="P65" s="21">
        <f t="shared" si="93"/>
        <v>-29880</v>
      </c>
      <c r="Q65" s="5">
        <f t="shared" si="93"/>
        <v>-3760</v>
      </c>
      <c r="R65" s="5">
        <f t="shared" si="93"/>
        <v>-11742</v>
      </c>
      <c r="S65" s="5">
        <f t="shared" si="93"/>
        <v>-10094</v>
      </c>
      <c r="T65" s="5">
        <f t="shared" si="93"/>
        <v>-13557</v>
      </c>
      <c r="U65" s="21">
        <f t="shared" si="93"/>
        <v>-39153</v>
      </c>
      <c r="V65" s="5">
        <f t="shared" si="93"/>
        <v>-5039</v>
      </c>
      <c r="W65" s="5">
        <f t="shared" si="93"/>
        <v>-5256</v>
      </c>
      <c r="X65" s="5">
        <f t="shared" si="93"/>
        <v>-4371</v>
      </c>
      <c r="Y65" s="5">
        <f t="shared" si="93"/>
        <v>-8027</v>
      </c>
      <c r="Z65" s="21">
        <f t="shared" si="93"/>
        <v>-22693</v>
      </c>
      <c r="AA65" s="5">
        <f t="shared" si="93"/>
        <v>-7762</v>
      </c>
      <c r="AB65" s="5">
        <f t="shared" si="93"/>
        <v>-8181</v>
      </c>
      <c r="AC65" s="5">
        <f t="shared" si="93"/>
        <v>-10348</v>
      </c>
      <c r="AD65" s="5">
        <f t="shared" ref="AD65:AH65" si="94">AD27</f>
        <v>-12656</v>
      </c>
      <c r="AE65" s="21">
        <f>AE27</f>
        <v>-38947</v>
      </c>
      <c r="AF65" s="5">
        <f t="shared" si="94"/>
        <v>-12566</v>
      </c>
      <c r="AG65" s="5">
        <f t="shared" si="94"/>
        <v>-24211</v>
      </c>
      <c r="AH65" s="5">
        <f t="shared" si="94"/>
        <v>-7223</v>
      </c>
      <c r="AI65" s="5">
        <f>AI27</f>
        <v>-12976</v>
      </c>
      <c r="AJ65" s="21">
        <f>AJ27</f>
        <v>-56976</v>
      </c>
    </row>
    <row r="66" spans="1:36" x14ac:dyDescent="0.2">
      <c r="A66" s="43" t="s">
        <v>47</v>
      </c>
      <c r="B66" s="5">
        <f t="shared" ref="B66:AC66" si="95">B28</f>
        <v>-2242</v>
      </c>
      <c r="C66" s="5">
        <f t="shared" si="95"/>
        <v>-3302</v>
      </c>
      <c r="D66" s="5">
        <f t="shared" si="95"/>
        <v>-4877</v>
      </c>
      <c r="E66" s="5">
        <f t="shared" si="95"/>
        <v>-3001</v>
      </c>
      <c r="F66" s="21">
        <f t="shared" si="95"/>
        <v>-13422</v>
      </c>
      <c r="G66" s="5">
        <f t="shared" si="95"/>
        <v>-2645</v>
      </c>
      <c r="H66" s="5">
        <f t="shared" si="95"/>
        <v>-3147</v>
      </c>
      <c r="I66" s="5">
        <f t="shared" si="95"/>
        <v>-5785</v>
      </c>
      <c r="J66" s="5">
        <f t="shared" si="95"/>
        <v>-3630</v>
      </c>
      <c r="K66" s="21">
        <f t="shared" si="95"/>
        <v>-15207</v>
      </c>
      <c r="L66" s="5">
        <f t="shared" si="95"/>
        <v>-2860</v>
      </c>
      <c r="M66" s="5">
        <f t="shared" si="95"/>
        <v>-4259</v>
      </c>
      <c r="N66" s="5">
        <f t="shared" si="95"/>
        <v>-5345</v>
      </c>
      <c r="O66" s="5">
        <f t="shared" si="95"/>
        <v>-4914</v>
      </c>
      <c r="P66" s="21">
        <f t="shared" si="95"/>
        <v>-17378</v>
      </c>
      <c r="Q66" s="5">
        <f t="shared" si="95"/>
        <v>-4242</v>
      </c>
      <c r="R66" s="5">
        <f t="shared" si="95"/>
        <v>-3948</v>
      </c>
      <c r="S66" s="5">
        <f t="shared" si="95"/>
        <v>-5079</v>
      </c>
      <c r="T66" s="5">
        <f t="shared" si="95"/>
        <v>-4426</v>
      </c>
      <c r="U66" s="21">
        <f t="shared" si="95"/>
        <v>-17695</v>
      </c>
      <c r="V66" s="5">
        <f t="shared" si="95"/>
        <v>-4310</v>
      </c>
      <c r="W66" s="5">
        <f t="shared" si="95"/>
        <v>-3466</v>
      </c>
      <c r="X66" s="5">
        <f t="shared" si="95"/>
        <v>-4569</v>
      </c>
      <c r="Y66" s="5">
        <f t="shared" si="95"/>
        <v>-3889</v>
      </c>
      <c r="Z66" s="21">
        <f t="shared" si="95"/>
        <v>-16234</v>
      </c>
      <c r="AA66" s="5">
        <f t="shared" si="95"/>
        <v>-3956</v>
      </c>
      <c r="AB66" s="5">
        <f t="shared" si="95"/>
        <v>-3998</v>
      </c>
      <c r="AC66" s="5">
        <f t="shared" si="95"/>
        <v>-4282</v>
      </c>
      <c r="AD66" s="5">
        <f t="shared" ref="AD66:AE66" si="96">AD28</f>
        <v>-4165</v>
      </c>
      <c r="AE66" s="21">
        <f t="shared" si="96"/>
        <v>-16401</v>
      </c>
      <c r="AF66" s="5">
        <f t="shared" ref="AF66:AG66" si="97">AF28</f>
        <v>-4648</v>
      </c>
      <c r="AG66" s="5">
        <f t="shared" si="97"/>
        <v>-3740</v>
      </c>
      <c r="AH66" s="5">
        <f>AH28</f>
        <v>-3832</v>
      </c>
      <c r="AI66" s="5">
        <f>AI28</f>
        <v>-5498</v>
      </c>
      <c r="AJ66" s="21">
        <f t="shared" ref="AJ66" si="98">AJ28</f>
        <v>-17718</v>
      </c>
    </row>
    <row r="67" spans="1:36" x14ac:dyDescent="0.2">
      <c r="A67" s="43" t="s">
        <v>48</v>
      </c>
      <c r="B67" s="6">
        <f t="shared" ref="B67:AC67" si="99">B29</f>
        <v>0</v>
      </c>
      <c r="C67" s="6">
        <f t="shared" si="99"/>
        <v>-1161</v>
      </c>
      <c r="D67" s="6">
        <f t="shared" si="99"/>
        <v>-19</v>
      </c>
      <c r="E67" s="6">
        <f t="shared" si="99"/>
        <v>-64</v>
      </c>
      <c r="F67" s="22">
        <f t="shared" si="99"/>
        <v>-1244</v>
      </c>
      <c r="G67" s="6">
        <f t="shared" si="99"/>
        <v>0</v>
      </c>
      <c r="H67" s="6">
        <f t="shared" si="99"/>
        <v>-3132</v>
      </c>
      <c r="I67" s="6">
        <f t="shared" si="99"/>
        <v>-18901</v>
      </c>
      <c r="J67" s="6">
        <f t="shared" si="99"/>
        <v>-10</v>
      </c>
      <c r="K67" s="22">
        <f t="shared" si="99"/>
        <v>-22043</v>
      </c>
      <c r="L67" s="6">
        <f t="shared" si="99"/>
        <v>0</v>
      </c>
      <c r="M67" s="6">
        <f t="shared" si="99"/>
        <v>-163</v>
      </c>
      <c r="N67" s="6">
        <f t="shared" si="99"/>
        <v>-3</v>
      </c>
      <c r="O67" s="6">
        <f t="shared" si="99"/>
        <v>-4711</v>
      </c>
      <c r="P67" s="22">
        <f t="shared" si="99"/>
        <v>-4877</v>
      </c>
      <c r="Q67" s="6">
        <f t="shared" si="99"/>
        <v>0</v>
      </c>
      <c r="R67" s="6">
        <f t="shared" si="99"/>
        <v>-278</v>
      </c>
      <c r="S67" s="6">
        <f t="shared" si="99"/>
        <v>0</v>
      </c>
      <c r="T67" s="6">
        <f t="shared" si="99"/>
        <v>-348</v>
      </c>
      <c r="U67" s="22">
        <f t="shared" si="99"/>
        <v>-626</v>
      </c>
      <c r="V67" s="6">
        <f t="shared" si="99"/>
        <v>-4190</v>
      </c>
      <c r="W67" s="6">
        <f t="shared" si="99"/>
        <v>-540</v>
      </c>
      <c r="X67" s="6">
        <f t="shared" si="99"/>
        <v>-8</v>
      </c>
      <c r="Y67" s="6">
        <f t="shared" si="99"/>
        <v>-2120</v>
      </c>
      <c r="Z67" s="22">
        <f t="shared" si="99"/>
        <v>-6858</v>
      </c>
      <c r="AA67" s="6">
        <f t="shared" si="99"/>
        <v>0</v>
      </c>
      <c r="AB67" s="6">
        <f t="shared" si="99"/>
        <v>-2192</v>
      </c>
      <c r="AC67" s="6">
        <f t="shared" si="99"/>
        <v>-258</v>
      </c>
      <c r="AD67" s="6">
        <f t="shared" ref="AD67:AE67" si="100">AD29</f>
        <v>-17616</v>
      </c>
      <c r="AE67" s="22">
        <f t="shared" si="100"/>
        <v>-20066</v>
      </c>
      <c r="AF67" s="6">
        <f t="shared" ref="AF67:AG67" si="101">AF29</f>
        <v>0</v>
      </c>
      <c r="AG67" s="6">
        <f t="shared" si="101"/>
        <v>-42218</v>
      </c>
      <c r="AH67" s="6">
        <f>AH29</f>
        <v>-53863</v>
      </c>
      <c r="AI67" s="6">
        <f>AI29</f>
        <v>-14029</v>
      </c>
      <c r="AJ67" s="22">
        <f t="shared" ref="AJ67" si="102">AJ29</f>
        <v>-110110</v>
      </c>
    </row>
    <row r="68" spans="1:36" ht="15" thickBot="1" x14ac:dyDescent="0.25">
      <c r="A68" s="49" t="s">
        <v>161</v>
      </c>
      <c r="B68" s="44">
        <f t="shared" ref="B68:N68" si="103">SUM(B64:B67)</f>
        <v>25719</v>
      </c>
      <c r="C68" s="44">
        <f t="shared" si="103"/>
        <v>9749</v>
      </c>
      <c r="D68" s="44">
        <f t="shared" si="103"/>
        <v>23059</v>
      </c>
      <c r="E68" s="44">
        <f t="shared" si="103"/>
        <v>23058</v>
      </c>
      <c r="F68" s="48">
        <f t="shared" si="103"/>
        <v>81585</v>
      </c>
      <c r="G68" s="44">
        <f t="shared" si="103"/>
        <v>35668</v>
      </c>
      <c r="H68" s="44">
        <f t="shared" si="103"/>
        <v>28852</v>
      </c>
      <c r="I68" s="44">
        <f t="shared" si="103"/>
        <v>21770</v>
      </c>
      <c r="J68" s="44">
        <f t="shared" si="103"/>
        <v>26264</v>
      </c>
      <c r="K68" s="48">
        <f t="shared" si="103"/>
        <v>112554</v>
      </c>
      <c r="L68" s="44">
        <f t="shared" si="103"/>
        <v>28422</v>
      </c>
      <c r="M68" s="44">
        <f t="shared" si="103"/>
        <v>48278</v>
      </c>
      <c r="N68" s="44">
        <f t="shared" si="103"/>
        <v>40542</v>
      </c>
      <c r="O68" s="44">
        <f>SUM(O64:O67)</f>
        <v>9517</v>
      </c>
      <c r="P68" s="48">
        <f>SUM(P64:P67)</f>
        <v>126759</v>
      </c>
      <c r="Q68" s="44">
        <f t="shared" ref="Q68:R68" si="104">SUM(Q64:Q67)</f>
        <v>11065</v>
      </c>
      <c r="R68" s="44">
        <f t="shared" si="104"/>
        <v>32486</v>
      </c>
      <c r="S68" s="44">
        <f t="shared" ref="S68" si="105">SUM(S64:S67)</f>
        <v>22733</v>
      </c>
      <c r="T68" s="44">
        <f t="shared" ref="T68:Z68" si="106">SUM(T64:T67)</f>
        <v>15310</v>
      </c>
      <c r="U68" s="48">
        <f t="shared" si="106"/>
        <v>81594</v>
      </c>
      <c r="V68" s="44">
        <f t="shared" si="106"/>
        <v>34599</v>
      </c>
      <c r="W68" s="44">
        <f t="shared" si="106"/>
        <v>30543</v>
      </c>
      <c r="X68" s="44">
        <f t="shared" si="106"/>
        <v>93954</v>
      </c>
      <c r="Y68" s="44">
        <f t="shared" si="106"/>
        <v>130382</v>
      </c>
      <c r="Z68" s="48">
        <f t="shared" si="106"/>
        <v>289478</v>
      </c>
      <c r="AA68" s="44">
        <f t="shared" ref="AA68:AB68" si="107">SUM(AA64:AA67)</f>
        <v>158247</v>
      </c>
      <c r="AB68" s="44">
        <f t="shared" si="107"/>
        <v>157004</v>
      </c>
      <c r="AC68" s="44">
        <f t="shared" ref="AC68:AD68" si="108">SUM(AC64:AC67)</f>
        <v>97014</v>
      </c>
      <c r="AD68" s="44">
        <f t="shared" si="108"/>
        <v>17207</v>
      </c>
      <c r="AE68" s="48">
        <f>SUM(AE64:AE67)</f>
        <v>429472</v>
      </c>
      <c r="AF68" s="44">
        <f t="shared" ref="AF68:AG68" si="109">SUM(AF64:AF67)</f>
        <v>213085</v>
      </c>
      <c r="AG68" s="44">
        <f t="shared" si="109"/>
        <v>77718</v>
      </c>
      <c r="AH68" s="44">
        <f>SUM(AH64:AH67)</f>
        <v>15333</v>
      </c>
      <c r="AI68" s="44">
        <f>SUM(AI64:AI67)</f>
        <v>961</v>
      </c>
      <c r="AJ68" s="48">
        <f t="shared" ref="AJ68" si="110">SUM(AJ64:AJ67)</f>
        <v>307097</v>
      </c>
    </row>
    <row r="69" spans="1:36" ht="13.5" thickTop="1" x14ac:dyDescent="0.2">
      <c r="A69" s="65"/>
      <c r="B69" s="55"/>
      <c r="C69" s="55"/>
      <c r="D69" s="55"/>
      <c r="E69" s="55"/>
      <c r="F69" s="61"/>
      <c r="G69" s="55"/>
      <c r="H69" s="55"/>
      <c r="I69" s="55"/>
      <c r="J69" s="55"/>
      <c r="K69" s="61"/>
      <c r="L69" s="55"/>
      <c r="M69" s="55"/>
      <c r="N69" s="55"/>
      <c r="O69" s="55"/>
      <c r="P69" s="61"/>
      <c r="Q69" s="55"/>
      <c r="R69" s="55"/>
      <c r="S69" s="55"/>
      <c r="T69" s="55"/>
      <c r="U69" s="61"/>
      <c r="V69" s="55"/>
      <c r="W69" s="55"/>
      <c r="X69" s="55"/>
      <c r="Y69" s="55"/>
      <c r="Z69" s="61"/>
      <c r="AA69" s="55"/>
      <c r="AB69" s="55"/>
      <c r="AC69" s="55"/>
      <c r="AD69" s="55"/>
      <c r="AE69" s="61"/>
      <c r="AF69" s="55"/>
      <c r="AG69" s="55"/>
      <c r="AH69" s="55"/>
      <c r="AI69" s="55"/>
      <c r="AJ69" s="61"/>
    </row>
    <row r="70" spans="1:36" ht="13.5" x14ac:dyDescent="0.2">
      <c r="A70" s="65" t="s">
        <v>211</v>
      </c>
      <c r="B70" s="55"/>
      <c r="C70" s="55"/>
      <c r="D70" s="55"/>
      <c r="E70" s="55"/>
      <c r="F70" s="61"/>
      <c r="G70" s="55"/>
      <c r="H70" s="55"/>
      <c r="I70" s="55"/>
      <c r="J70" s="55"/>
      <c r="K70" s="61"/>
      <c r="L70" s="55"/>
      <c r="M70" s="55"/>
      <c r="N70" s="55"/>
      <c r="O70" s="55"/>
      <c r="P70" s="61"/>
      <c r="Q70" s="55"/>
      <c r="R70" s="55"/>
      <c r="S70" s="55"/>
      <c r="T70" s="55"/>
      <c r="U70" s="61"/>
      <c r="V70" s="55"/>
      <c r="W70" s="55"/>
      <c r="X70" s="55"/>
      <c r="Y70" s="55"/>
      <c r="Z70" s="61"/>
      <c r="AA70" s="55"/>
      <c r="AB70" s="55"/>
      <c r="AC70" s="55"/>
      <c r="AD70" s="55"/>
      <c r="AE70" s="61"/>
      <c r="AF70" s="55"/>
      <c r="AG70" s="55"/>
      <c r="AH70" s="55"/>
      <c r="AI70" s="55"/>
      <c r="AJ70" s="61"/>
    </row>
  </sheetData>
  <conditionalFormatting sqref="A21:J21 A31:J31 A62:J67 O65:P67 A68 B52:P52 O44:P45 A7:O10 O57:P61 B58:J64 G58:O67 A57:E61 A13:O16 A35:O45 B47:O57 A47:A56 B68:P69 Q47:Q69 A18:A20 B18:O21 B24:O31 A22:A30">
    <cfRule type="expression" dxfId="559" priority="527" stopIfTrue="1">
      <formula>MOD(ROW(),2)=1</formula>
    </cfRule>
  </conditionalFormatting>
  <conditionalFormatting sqref="K7:O9 K47:O56 K35:O40 K24:O30">
    <cfRule type="expression" dxfId="558" priority="487" stopIfTrue="1">
      <formula>MOD(ROW(),2)=1</formula>
    </cfRule>
  </conditionalFormatting>
  <conditionalFormatting sqref="K10:O10 K13:O16 K18:O21">
    <cfRule type="expression" dxfId="557" priority="486" stopIfTrue="1">
      <formula>MOD(ROW(),2)=1</formula>
    </cfRule>
  </conditionalFormatting>
  <conditionalFormatting sqref="P7:P9 P47:P56 P35:P40 F53:P53 P24:P30">
    <cfRule type="expression" dxfId="556" priority="485" stopIfTrue="1">
      <formula>MOD(ROW(),2)=1</formula>
    </cfRule>
  </conditionalFormatting>
  <conditionalFormatting sqref="P10 P13:P16 P18:P21">
    <cfRule type="expression" dxfId="555" priority="484" stopIfTrue="1">
      <formula>MOD(ROW(),2)=1</formula>
    </cfRule>
  </conditionalFormatting>
  <conditionalFormatting sqref="K41:O43">
    <cfRule type="expression" dxfId="554" priority="477" stopIfTrue="1">
      <formula>MOD(ROW(),2)=1</formula>
    </cfRule>
  </conditionalFormatting>
  <conditionalFormatting sqref="P41:P43">
    <cfRule type="expression" dxfId="553" priority="476" stopIfTrue="1">
      <formula>MOD(ROW(),2)=1</formula>
    </cfRule>
  </conditionalFormatting>
  <conditionalFormatting sqref="K31:O31">
    <cfRule type="expression" dxfId="552" priority="474" stopIfTrue="1">
      <formula>MOD(ROW(),2)=1</formula>
    </cfRule>
  </conditionalFormatting>
  <conditionalFormatting sqref="P31">
    <cfRule type="expression" dxfId="551" priority="473" stopIfTrue="1">
      <formula>MOD(ROW(),2)=1</formula>
    </cfRule>
  </conditionalFormatting>
  <conditionalFormatting sqref="O35">
    <cfRule type="expression" dxfId="550" priority="472" stopIfTrue="1">
      <formula>MOD(ROW(),2)=1</formula>
    </cfRule>
  </conditionalFormatting>
  <conditionalFormatting sqref="K62:O64">
    <cfRule type="expression" dxfId="549" priority="470" stopIfTrue="1">
      <formula>MOD(ROW(),2)=1</formula>
    </cfRule>
  </conditionalFormatting>
  <conditionalFormatting sqref="P62:P64">
    <cfRule type="expression" dxfId="548" priority="469" stopIfTrue="1">
      <formula>MOD(ROW(),2)=1</formula>
    </cfRule>
  </conditionalFormatting>
  <conditionalFormatting sqref="A69">
    <cfRule type="expression" dxfId="547" priority="458" stopIfTrue="1">
      <formula>MOD(ROW(),2)=1</formula>
    </cfRule>
  </conditionalFormatting>
  <conditionalFormatting sqref="Q7:Q10 Q13:Q16 Q35:Q45 Q18:Q21 Q24:Q31">
    <cfRule type="expression" dxfId="546" priority="453" stopIfTrue="1">
      <formula>MOD(ROW(),2)=1</formula>
    </cfRule>
  </conditionalFormatting>
  <conditionalFormatting sqref="Q7:Q9 Q47:Q56 Q35:Q40 Q24:Q30">
    <cfRule type="expression" dxfId="545" priority="452" stopIfTrue="1">
      <formula>MOD(ROW(),2)=1</formula>
    </cfRule>
  </conditionalFormatting>
  <conditionalFormatting sqref="Q10 Q13:Q16 Q18:Q21">
    <cfRule type="expression" dxfId="544" priority="451" stopIfTrue="1">
      <formula>MOD(ROW(),2)=1</formula>
    </cfRule>
  </conditionalFormatting>
  <conditionalFormatting sqref="Q53">
    <cfRule type="expression" dxfId="543" priority="450" stopIfTrue="1">
      <formula>MOD(ROW(),2)=1</formula>
    </cfRule>
  </conditionalFormatting>
  <conditionalFormatting sqref="K11:O11">
    <cfRule type="expression" dxfId="542" priority="444" stopIfTrue="1">
      <formula>MOD(ROW(),2)=1</formula>
    </cfRule>
  </conditionalFormatting>
  <conditionalFormatting sqref="Q41:Q43">
    <cfRule type="expression" dxfId="541" priority="448" stopIfTrue="1">
      <formula>MOD(ROW(),2)=1</formula>
    </cfRule>
  </conditionalFormatting>
  <conditionalFormatting sqref="Q31">
    <cfRule type="expression" dxfId="540" priority="447" stopIfTrue="1">
      <formula>MOD(ROW(),2)=1</formula>
    </cfRule>
  </conditionalFormatting>
  <conditionalFormatting sqref="Q62:Q64">
    <cfRule type="expression" dxfId="539" priority="446" stopIfTrue="1">
      <formula>MOD(ROW(),2)=1</formula>
    </cfRule>
  </conditionalFormatting>
  <conditionalFormatting sqref="A11:O11">
    <cfRule type="expression" dxfId="538" priority="445" stopIfTrue="1">
      <formula>MOD(ROW(),2)=1</formula>
    </cfRule>
  </conditionalFormatting>
  <conditionalFormatting sqref="P11">
    <cfRule type="expression" dxfId="537" priority="443" stopIfTrue="1">
      <formula>MOD(ROW(),2)=1</formula>
    </cfRule>
  </conditionalFormatting>
  <conditionalFormatting sqref="Q11">
    <cfRule type="expression" dxfId="536" priority="442" stopIfTrue="1">
      <formula>MOD(ROW(),2)=1</formula>
    </cfRule>
  </conditionalFormatting>
  <conditionalFormatting sqref="Q11">
    <cfRule type="expression" dxfId="535" priority="441" stopIfTrue="1">
      <formula>MOD(ROW(),2)=1</formula>
    </cfRule>
  </conditionalFormatting>
  <conditionalFormatting sqref="A12:O12">
    <cfRule type="expression" dxfId="534" priority="440" stopIfTrue="1">
      <formula>MOD(ROW(),2)=1</formula>
    </cfRule>
  </conditionalFormatting>
  <conditionalFormatting sqref="K12:O12">
    <cfRule type="expression" dxfId="533" priority="439" stopIfTrue="1">
      <formula>MOD(ROW(),2)=1</formula>
    </cfRule>
  </conditionalFormatting>
  <conditionalFormatting sqref="P12">
    <cfRule type="expression" dxfId="532" priority="438" stopIfTrue="1">
      <formula>MOD(ROW(),2)=1</formula>
    </cfRule>
  </conditionalFormatting>
  <conditionalFormatting sqref="Q12">
    <cfRule type="expression" dxfId="531" priority="437" stopIfTrue="1">
      <formula>MOD(ROW(),2)=1</formula>
    </cfRule>
  </conditionalFormatting>
  <conditionalFormatting sqref="Q12">
    <cfRule type="expression" dxfId="530" priority="436" stopIfTrue="1">
      <formula>MOD(ROW(),2)=1</formula>
    </cfRule>
  </conditionalFormatting>
  <conditionalFormatting sqref="A32:O34">
    <cfRule type="expression" dxfId="529" priority="435" stopIfTrue="1">
      <formula>MOD(ROW(),2)=1</formula>
    </cfRule>
  </conditionalFormatting>
  <conditionalFormatting sqref="K32:O34">
    <cfRule type="expression" dxfId="528" priority="434" stopIfTrue="1">
      <formula>MOD(ROW(),2)=1</formula>
    </cfRule>
  </conditionalFormatting>
  <conditionalFormatting sqref="P32:P34">
    <cfRule type="expression" dxfId="527" priority="433" stopIfTrue="1">
      <formula>MOD(ROW(),2)=1</formula>
    </cfRule>
  </conditionalFormatting>
  <conditionalFormatting sqref="Q32:Q34">
    <cfRule type="expression" dxfId="526" priority="432" stopIfTrue="1">
      <formula>MOD(ROW(),2)=1</formula>
    </cfRule>
  </conditionalFormatting>
  <conditionalFormatting sqref="Q32:Q34">
    <cfRule type="expression" dxfId="525" priority="431" stopIfTrue="1">
      <formula>MOD(ROW(),2)=1</formula>
    </cfRule>
  </conditionalFormatting>
  <conditionalFormatting sqref="A46:P46">
    <cfRule type="expression" dxfId="524" priority="430" stopIfTrue="1">
      <formula>MOD(ROW(),2)=1</formula>
    </cfRule>
  </conditionalFormatting>
  <conditionalFormatting sqref="Q46">
    <cfRule type="expression" dxfId="523" priority="428" stopIfTrue="1">
      <formula>MOD(ROW(),2)=1</formula>
    </cfRule>
  </conditionalFormatting>
  <conditionalFormatting sqref="B22:O23 E23:AF23">
    <cfRule type="expression" dxfId="522" priority="427" stopIfTrue="1">
      <formula>MOD(ROW(),2)=1</formula>
    </cfRule>
  </conditionalFormatting>
  <conditionalFormatting sqref="K22:O23">
    <cfRule type="expression" dxfId="521" priority="426" stopIfTrue="1">
      <formula>MOD(ROW(),2)=1</formula>
    </cfRule>
  </conditionalFormatting>
  <conditionalFormatting sqref="P22:P23">
    <cfRule type="expression" dxfId="520" priority="425" stopIfTrue="1">
      <formula>MOD(ROW(),2)=1</formula>
    </cfRule>
  </conditionalFormatting>
  <conditionalFormatting sqref="Q22:Q23">
    <cfRule type="expression" dxfId="519" priority="424" stopIfTrue="1">
      <formula>MOD(ROW(),2)=1</formula>
    </cfRule>
  </conditionalFormatting>
  <conditionalFormatting sqref="Q22:Q23">
    <cfRule type="expression" dxfId="518" priority="423" stopIfTrue="1">
      <formula>MOD(ROW(),2)=1</formula>
    </cfRule>
  </conditionalFormatting>
  <conditionalFormatting sqref="R47:R69">
    <cfRule type="expression" dxfId="517" priority="422" stopIfTrue="1">
      <formula>MOD(ROW(),2)=1</formula>
    </cfRule>
  </conditionalFormatting>
  <conditionalFormatting sqref="R7:R10 R13:R16 R35:R45 R18:R21 R24:R31">
    <cfRule type="expression" dxfId="516" priority="421" stopIfTrue="1">
      <formula>MOD(ROW(),2)=1</formula>
    </cfRule>
  </conditionalFormatting>
  <conditionalFormatting sqref="R7:R9 R47:R56 R35:R40 R24:R30">
    <cfRule type="expression" dxfId="515" priority="420" stopIfTrue="1">
      <formula>MOD(ROW(),2)=1</formula>
    </cfRule>
  </conditionalFormatting>
  <conditionalFormatting sqref="R10 R13:R16 R18:R21">
    <cfRule type="expression" dxfId="514" priority="419" stopIfTrue="1">
      <formula>MOD(ROW(),2)=1</formula>
    </cfRule>
  </conditionalFormatting>
  <conditionalFormatting sqref="R53">
    <cfRule type="expression" dxfId="513" priority="418" stopIfTrue="1">
      <formula>MOD(ROW(),2)=1</formula>
    </cfRule>
  </conditionalFormatting>
  <conditionalFormatting sqref="R41:R43">
    <cfRule type="expression" dxfId="512" priority="417" stopIfTrue="1">
      <formula>MOD(ROW(),2)=1</formula>
    </cfRule>
  </conditionalFormatting>
  <conditionalFormatting sqref="R31">
    <cfRule type="expression" dxfId="511" priority="416" stopIfTrue="1">
      <formula>MOD(ROW(),2)=1</formula>
    </cfRule>
  </conditionalFormatting>
  <conditionalFormatting sqref="R62:R64">
    <cfRule type="expression" dxfId="510" priority="415" stopIfTrue="1">
      <formula>MOD(ROW(),2)=1</formula>
    </cfRule>
  </conditionalFormatting>
  <conditionalFormatting sqref="R11">
    <cfRule type="expression" dxfId="509" priority="414" stopIfTrue="1">
      <formula>MOD(ROW(),2)=1</formula>
    </cfRule>
  </conditionalFormatting>
  <conditionalFormatting sqref="R11">
    <cfRule type="expression" dxfId="508" priority="413" stopIfTrue="1">
      <formula>MOD(ROW(),2)=1</formula>
    </cfRule>
  </conditionalFormatting>
  <conditionalFormatting sqref="R12">
    <cfRule type="expression" dxfId="507" priority="412" stopIfTrue="1">
      <formula>MOD(ROW(),2)=1</formula>
    </cfRule>
  </conditionalFormatting>
  <conditionalFormatting sqref="R12">
    <cfRule type="expression" dxfId="506" priority="411" stopIfTrue="1">
      <formula>MOD(ROW(),2)=1</formula>
    </cfRule>
  </conditionalFormatting>
  <conditionalFormatting sqref="R32:R34">
    <cfRule type="expression" dxfId="505" priority="410" stopIfTrue="1">
      <formula>MOD(ROW(),2)=1</formula>
    </cfRule>
  </conditionalFormatting>
  <conditionalFormatting sqref="R32:R34">
    <cfRule type="expression" dxfId="504" priority="409" stopIfTrue="1">
      <formula>MOD(ROW(),2)=1</formula>
    </cfRule>
  </conditionalFormatting>
  <conditionalFormatting sqref="R46">
    <cfRule type="expression" dxfId="503" priority="408" stopIfTrue="1">
      <formula>MOD(ROW(),2)=1</formula>
    </cfRule>
  </conditionalFormatting>
  <conditionalFormatting sqref="R22:R23">
    <cfRule type="expression" dxfId="502" priority="407" stopIfTrue="1">
      <formula>MOD(ROW(),2)=1</formula>
    </cfRule>
  </conditionalFormatting>
  <conditionalFormatting sqref="R22:R23">
    <cfRule type="expression" dxfId="501" priority="406" stopIfTrue="1">
      <formula>MOD(ROW(),2)=1</formula>
    </cfRule>
  </conditionalFormatting>
  <conditionalFormatting sqref="S47:S69">
    <cfRule type="expression" dxfId="500" priority="405" stopIfTrue="1">
      <formula>MOD(ROW(),2)=1</formula>
    </cfRule>
  </conditionalFormatting>
  <conditionalFormatting sqref="S7:S10 S13:S16 S35:S45 S18:S21 S24:S31">
    <cfRule type="expression" dxfId="499" priority="404" stopIfTrue="1">
      <formula>MOD(ROW(),2)=1</formula>
    </cfRule>
  </conditionalFormatting>
  <conditionalFormatting sqref="S7:S9 S47:S56 S35:S40 S24:S30">
    <cfRule type="expression" dxfId="498" priority="403" stopIfTrue="1">
      <formula>MOD(ROW(),2)=1</formula>
    </cfRule>
  </conditionalFormatting>
  <conditionalFormatting sqref="S10 S13:S16 S18:S21">
    <cfRule type="expression" dxfId="497" priority="402" stopIfTrue="1">
      <formula>MOD(ROW(),2)=1</formula>
    </cfRule>
  </conditionalFormatting>
  <conditionalFormatting sqref="S53">
    <cfRule type="expression" dxfId="496" priority="401" stopIfTrue="1">
      <formula>MOD(ROW(),2)=1</formula>
    </cfRule>
  </conditionalFormatting>
  <conditionalFormatting sqref="S41:S43">
    <cfRule type="expression" dxfId="495" priority="400" stopIfTrue="1">
      <formula>MOD(ROW(),2)=1</formula>
    </cfRule>
  </conditionalFormatting>
  <conditionalFormatting sqref="S31">
    <cfRule type="expression" dxfId="494" priority="399" stopIfTrue="1">
      <formula>MOD(ROW(),2)=1</formula>
    </cfRule>
  </conditionalFormatting>
  <conditionalFormatting sqref="S62:S64">
    <cfRule type="expression" dxfId="493" priority="398" stopIfTrue="1">
      <formula>MOD(ROW(),2)=1</formula>
    </cfRule>
  </conditionalFormatting>
  <conditionalFormatting sqref="S11">
    <cfRule type="expression" dxfId="492" priority="397" stopIfTrue="1">
      <formula>MOD(ROW(),2)=1</formula>
    </cfRule>
  </conditionalFormatting>
  <conditionalFormatting sqref="S11">
    <cfRule type="expression" dxfId="491" priority="396" stopIfTrue="1">
      <formula>MOD(ROW(),2)=1</formula>
    </cfRule>
  </conditionalFormatting>
  <conditionalFormatting sqref="S12">
    <cfRule type="expression" dxfId="490" priority="395" stopIfTrue="1">
      <formula>MOD(ROW(),2)=1</formula>
    </cfRule>
  </conditionalFormatting>
  <conditionalFormatting sqref="S12">
    <cfRule type="expression" dxfId="489" priority="394" stopIfTrue="1">
      <formula>MOD(ROW(),2)=1</formula>
    </cfRule>
  </conditionalFormatting>
  <conditionalFormatting sqref="S32:S34">
    <cfRule type="expression" dxfId="488" priority="393" stopIfTrue="1">
      <formula>MOD(ROW(),2)=1</formula>
    </cfRule>
  </conditionalFormatting>
  <conditionalFormatting sqref="S32:S34">
    <cfRule type="expression" dxfId="487" priority="392" stopIfTrue="1">
      <formula>MOD(ROW(),2)=1</formula>
    </cfRule>
  </conditionalFormatting>
  <conditionalFormatting sqref="S46">
    <cfRule type="expression" dxfId="486" priority="391" stopIfTrue="1">
      <formula>MOD(ROW(),2)=1</formula>
    </cfRule>
  </conditionalFormatting>
  <conditionalFormatting sqref="S22:S23">
    <cfRule type="expression" dxfId="485" priority="390" stopIfTrue="1">
      <formula>MOD(ROW(),2)=1</formula>
    </cfRule>
  </conditionalFormatting>
  <conditionalFormatting sqref="S22:S23">
    <cfRule type="expression" dxfId="484" priority="389" stopIfTrue="1">
      <formula>MOD(ROW(),2)=1</formula>
    </cfRule>
  </conditionalFormatting>
  <conditionalFormatting sqref="T47:T69">
    <cfRule type="expression" dxfId="483" priority="388" stopIfTrue="1">
      <formula>MOD(ROW(),2)=1</formula>
    </cfRule>
  </conditionalFormatting>
  <conditionalFormatting sqref="T7:T10 T13:T16 T35:T45 T18:T21 T24:T31">
    <cfRule type="expression" dxfId="482" priority="387" stopIfTrue="1">
      <formula>MOD(ROW(),2)=1</formula>
    </cfRule>
  </conditionalFormatting>
  <conditionalFormatting sqref="T7:T9 T47:T56 T35:T40 T24:T30">
    <cfRule type="expression" dxfId="481" priority="386" stopIfTrue="1">
      <formula>MOD(ROW(),2)=1</formula>
    </cfRule>
  </conditionalFormatting>
  <conditionalFormatting sqref="T10 T13:T16 T18:T21">
    <cfRule type="expression" dxfId="480" priority="385" stopIfTrue="1">
      <formula>MOD(ROW(),2)=1</formula>
    </cfRule>
  </conditionalFormatting>
  <conditionalFormatting sqref="T53">
    <cfRule type="expression" dxfId="479" priority="384" stopIfTrue="1">
      <formula>MOD(ROW(),2)=1</formula>
    </cfRule>
  </conditionalFormatting>
  <conditionalFormatting sqref="T41:T43">
    <cfRule type="expression" dxfId="478" priority="383" stopIfTrue="1">
      <formula>MOD(ROW(),2)=1</formula>
    </cfRule>
  </conditionalFormatting>
  <conditionalFormatting sqref="T31">
    <cfRule type="expression" dxfId="477" priority="382" stopIfTrue="1">
      <formula>MOD(ROW(),2)=1</formula>
    </cfRule>
  </conditionalFormatting>
  <conditionalFormatting sqref="T62:T64">
    <cfRule type="expression" dxfId="476" priority="381" stopIfTrue="1">
      <formula>MOD(ROW(),2)=1</formula>
    </cfRule>
  </conditionalFormatting>
  <conditionalFormatting sqref="T11">
    <cfRule type="expression" dxfId="475" priority="380" stopIfTrue="1">
      <formula>MOD(ROW(),2)=1</formula>
    </cfRule>
  </conditionalFormatting>
  <conditionalFormatting sqref="T11">
    <cfRule type="expression" dxfId="474" priority="379" stopIfTrue="1">
      <formula>MOD(ROW(),2)=1</formula>
    </cfRule>
  </conditionalFormatting>
  <conditionalFormatting sqref="T12">
    <cfRule type="expression" dxfId="473" priority="378" stopIfTrue="1">
      <formula>MOD(ROW(),2)=1</formula>
    </cfRule>
  </conditionalFormatting>
  <conditionalFormatting sqref="T12">
    <cfRule type="expression" dxfId="472" priority="377" stopIfTrue="1">
      <formula>MOD(ROW(),2)=1</formula>
    </cfRule>
  </conditionalFormatting>
  <conditionalFormatting sqref="T32:T34">
    <cfRule type="expression" dxfId="471" priority="376" stopIfTrue="1">
      <formula>MOD(ROW(),2)=1</formula>
    </cfRule>
  </conditionalFormatting>
  <conditionalFormatting sqref="T32:T34">
    <cfRule type="expression" dxfId="470" priority="375" stopIfTrue="1">
      <formula>MOD(ROW(),2)=1</formula>
    </cfRule>
  </conditionalFormatting>
  <conditionalFormatting sqref="T46">
    <cfRule type="expression" dxfId="469" priority="374" stopIfTrue="1">
      <formula>MOD(ROW(),2)=1</formula>
    </cfRule>
  </conditionalFormatting>
  <conditionalFormatting sqref="T22:T23">
    <cfRule type="expression" dxfId="468" priority="373" stopIfTrue="1">
      <formula>MOD(ROW(),2)=1</formula>
    </cfRule>
  </conditionalFormatting>
  <conditionalFormatting sqref="T22:T23">
    <cfRule type="expression" dxfId="467" priority="372" stopIfTrue="1">
      <formula>MOD(ROW(),2)=1</formula>
    </cfRule>
  </conditionalFormatting>
  <conditionalFormatting sqref="U52 U44:U45 U57:U61 U65:U69">
    <cfRule type="expression" dxfId="466" priority="371" stopIfTrue="1">
      <formula>MOD(ROW(),2)=1</formula>
    </cfRule>
  </conditionalFormatting>
  <conditionalFormatting sqref="U7:U9 U47:U56 U35:U40 U24:U30">
    <cfRule type="expression" dxfId="465" priority="370" stopIfTrue="1">
      <formula>MOD(ROW(),2)=1</formula>
    </cfRule>
  </conditionalFormatting>
  <conditionalFormatting sqref="U10 U13:U16 U18:U21">
    <cfRule type="expression" dxfId="464" priority="369" stopIfTrue="1">
      <formula>MOD(ROW(),2)=1</formula>
    </cfRule>
  </conditionalFormatting>
  <conditionalFormatting sqref="U41:U43">
    <cfRule type="expression" dxfId="463" priority="368" stopIfTrue="1">
      <formula>MOD(ROW(),2)=1</formula>
    </cfRule>
  </conditionalFormatting>
  <conditionalFormatting sqref="U31">
    <cfRule type="expression" dxfId="462" priority="367" stopIfTrue="1">
      <formula>MOD(ROW(),2)=1</formula>
    </cfRule>
  </conditionalFormatting>
  <conditionalFormatting sqref="U62:U64">
    <cfRule type="expression" dxfId="461" priority="366" stopIfTrue="1">
      <formula>MOD(ROW(),2)=1</formula>
    </cfRule>
  </conditionalFormatting>
  <conditionalFormatting sqref="U11">
    <cfRule type="expression" dxfId="460" priority="365" stopIfTrue="1">
      <formula>MOD(ROW(),2)=1</formula>
    </cfRule>
  </conditionalFormatting>
  <conditionalFormatting sqref="U12">
    <cfRule type="expression" dxfId="459" priority="364" stopIfTrue="1">
      <formula>MOD(ROW(),2)=1</formula>
    </cfRule>
  </conditionalFormatting>
  <conditionalFormatting sqref="U32:U34">
    <cfRule type="expression" dxfId="458" priority="363" stopIfTrue="1">
      <formula>MOD(ROW(),2)=1</formula>
    </cfRule>
  </conditionalFormatting>
  <conditionalFormatting sqref="U46">
    <cfRule type="expression" dxfId="457" priority="362" stopIfTrue="1">
      <formula>MOD(ROW(),2)=1</formula>
    </cfRule>
  </conditionalFormatting>
  <conditionalFormatting sqref="U22:U23">
    <cfRule type="expression" dxfId="456" priority="361" stopIfTrue="1">
      <formula>MOD(ROW(),2)=1</formula>
    </cfRule>
  </conditionalFormatting>
  <conditionalFormatting sqref="V47:V69">
    <cfRule type="expression" dxfId="455" priority="360" stopIfTrue="1">
      <formula>MOD(ROW(),2)=1</formula>
    </cfRule>
  </conditionalFormatting>
  <conditionalFormatting sqref="V7:V10 V13:V16 V35:V45 V18:V21 V24:V31">
    <cfRule type="expression" dxfId="454" priority="359" stopIfTrue="1">
      <formula>MOD(ROW(),2)=1</formula>
    </cfRule>
  </conditionalFormatting>
  <conditionalFormatting sqref="V7:V9 V47:V56 V35:V40 V24:V30">
    <cfRule type="expression" dxfId="453" priority="358" stopIfTrue="1">
      <formula>MOD(ROW(),2)=1</formula>
    </cfRule>
  </conditionalFormatting>
  <conditionalFormatting sqref="V10 V13:V16 V18:V21">
    <cfRule type="expression" dxfId="452" priority="357" stopIfTrue="1">
      <formula>MOD(ROW(),2)=1</formula>
    </cfRule>
  </conditionalFormatting>
  <conditionalFormatting sqref="V53">
    <cfRule type="expression" dxfId="451" priority="356" stopIfTrue="1">
      <formula>MOD(ROW(),2)=1</formula>
    </cfRule>
  </conditionalFormatting>
  <conditionalFormatting sqref="V41:V43">
    <cfRule type="expression" dxfId="450" priority="355" stopIfTrue="1">
      <formula>MOD(ROW(),2)=1</formula>
    </cfRule>
  </conditionalFormatting>
  <conditionalFormatting sqref="V31">
    <cfRule type="expression" dxfId="449" priority="354" stopIfTrue="1">
      <formula>MOD(ROW(),2)=1</formula>
    </cfRule>
  </conditionalFormatting>
  <conditionalFormatting sqref="V62:V64">
    <cfRule type="expression" dxfId="448" priority="353" stopIfTrue="1">
      <formula>MOD(ROW(),2)=1</formula>
    </cfRule>
  </conditionalFormatting>
  <conditionalFormatting sqref="V11">
    <cfRule type="expression" dxfId="447" priority="352" stopIfTrue="1">
      <formula>MOD(ROW(),2)=1</formula>
    </cfRule>
  </conditionalFormatting>
  <conditionalFormatting sqref="V11">
    <cfRule type="expression" dxfId="446" priority="351" stopIfTrue="1">
      <formula>MOD(ROW(),2)=1</formula>
    </cfRule>
  </conditionalFormatting>
  <conditionalFormatting sqref="V12">
    <cfRule type="expression" dxfId="445" priority="350" stopIfTrue="1">
      <formula>MOD(ROW(),2)=1</formula>
    </cfRule>
  </conditionalFormatting>
  <conditionalFormatting sqref="V12">
    <cfRule type="expression" dxfId="444" priority="349" stopIfTrue="1">
      <formula>MOD(ROW(),2)=1</formula>
    </cfRule>
  </conditionalFormatting>
  <conditionalFormatting sqref="V32:V34">
    <cfRule type="expression" dxfId="443" priority="348" stopIfTrue="1">
      <formula>MOD(ROW(),2)=1</formula>
    </cfRule>
  </conditionalFormatting>
  <conditionalFormatting sqref="V32:V34">
    <cfRule type="expression" dxfId="442" priority="347" stopIfTrue="1">
      <formula>MOD(ROW(),2)=1</formula>
    </cfRule>
  </conditionalFormatting>
  <conditionalFormatting sqref="V46">
    <cfRule type="expression" dxfId="441" priority="346" stopIfTrue="1">
      <formula>MOD(ROW(),2)=1</formula>
    </cfRule>
  </conditionalFormatting>
  <conditionalFormatting sqref="V22:V23">
    <cfRule type="expression" dxfId="440" priority="345" stopIfTrue="1">
      <formula>MOD(ROW(),2)=1</formula>
    </cfRule>
  </conditionalFormatting>
  <conditionalFormatting sqref="V22:V23">
    <cfRule type="expression" dxfId="439" priority="344" stopIfTrue="1">
      <formula>MOD(ROW(),2)=1</formula>
    </cfRule>
  </conditionalFormatting>
  <conditionalFormatting sqref="W47:W69">
    <cfRule type="expression" dxfId="438" priority="343" stopIfTrue="1">
      <formula>MOD(ROW(),2)=1</formula>
    </cfRule>
  </conditionalFormatting>
  <conditionalFormatting sqref="W7:W10 W13:W16 W35:W45 W18:W21 W24:W31">
    <cfRule type="expression" dxfId="437" priority="342" stopIfTrue="1">
      <formula>MOD(ROW(),2)=1</formula>
    </cfRule>
  </conditionalFormatting>
  <conditionalFormatting sqref="W7:W9 W47:W56 W35:W40 W24:W30">
    <cfRule type="expression" dxfId="436" priority="341" stopIfTrue="1">
      <formula>MOD(ROW(),2)=1</formula>
    </cfRule>
  </conditionalFormatting>
  <conditionalFormatting sqref="W10 W13:W16 W18:W21">
    <cfRule type="expression" dxfId="435" priority="340" stopIfTrue="1">
      <formula>MOD(ROW(),2)=1</formula>
    </cfRule>
  </conditionalFormatting>
  <conditionalFormatting sqref="W53">
    <cfRule type="expression" dxfId="434" priority="339" stopIfTrue="1">
      <formula>MOD(ROW(),2)=1</formula>
    </cfRule>
  </conditionalFormatting>
  <conditionalFormatting sqref="W41:W43">
    <cfRule type="expression" dxfId="433" priority="338" stopIfTrue="1">
      <formula>MOD(ROW(),2)=1</formula>
    </cfRule>
  </conditionalFormatting>
  <conditionalFormatting sqref="W31">
    <cfRule type="expression" dxfId="432" priority="337" stopIfTrue="1">
      <formula>MOD(ROW(),2)=1</formula>
    </cfRule>
  </conditionalFormatting>
  <conditionalFormatting sqref="W62:W64">
    <cfRule type="expression" dxfId="431" priority="336" stopIfTrue="1">
      <formula>MOD(ROW(),2)=1</formula>
    </cfRule>
  </conditionalFormatting>
  <conditionalFormatting sqref="W11">
    <cfRule type="expression" dxfId="430" priority="335" stopIfTrue="1">
      <formula>MOD(ROW(),2)=1</formula>
    </cfRule>
  </conditionalFormatting>
  <conditionalFormatting sqref="W11">
    <cfRule type="expression" dxfId="429" priority="334" stopIfTrue="1">
      <formula>MOD(ROW(),2)=1</formula>
    </cfRule>
  </conditionalFormatting>
  <conditionalFormatting sqref="W12">
    <cfRule type="expression" dxfId="428" priority="333" stopIfTrue="1">
      <formula>MOD(ROW(),2)=1</formula>
    </cfRule>
  </conditionalFormatting>
  <conditionalFormatting sqref="W12">
    <cfRule type="expression" dxfId="427" priority="332" stopIfTrue="1">
      <formula>MOD(ROW(),2)=1</formula>
    </cfRule>
  </conditionalFormatting>
  <conditionalFormatting sqref="W32:W34">
    <cfRule type="expression" dxfId="426" priority="331" stopIfTrue="1">
      <formula>MOD(ROW(),2)=1</formula>
    </cfRule>
  </conditionalFormatting>
  <conditionalFormatting sqref="W32:W34">
    <cfRule type="expression" dxfId="425" priority="330" stopIfTrue="1">
      <formula>MOD(ROW(),2)=1</formula>
    </cfRule>
  </conditionalFormatting>
  <conditionalFormatting sqref="W46">
    <cfRule type="expression" dxfId="424" priority="329" stopIfTrue="1">
      <formula>MOD(ROW(),2)=1</formula>
    </cfRule>
  </conditionalFormatting>
  <conditionalFormatting sqref="W22:W23">
    <cfRule type="expression" dxfId="423" priority="328" stopIfTrue="1">
      <formula>MOD(ROW(),2)=1</formula>
    </cfRule>
  </conditionalFormatting>
  <conditionalFormatting sqref="W22:W23">
    <cfRule type="expression" dxfId="422" priority="327" stopIfTrue="1">
      <formula>MOD(ROW(),2)=1</formula>
    </cfRule>
  </conditionalFormatting>
  <conditionalFormatting sqref="X47:X69">
    <cfRule type="expression" dxfId="421" priority="326" stopIfTrue="1">
      <formula>MOD(ROW(),2)=1</formula>
    </cfRule>
  </conditionalFormatting>
  <conditionalFormatting sqref="X7:X10 X13:X16 X35:X45 X18:X21 X24:X31">
    <cfRule type="expression" dxfId="420" priority="325" stopIfTrue="1">
      <formula>MOD(ROW(),2)=1</formula>
    </cfRule>
  </conditionalFormatting>
  <conditionalFormatting sqref="X7:X9 X47:X56 X35:X40 X24:X30">
    <cfRule type="expression" dxfId="419" priority="324" stopIfTrue="1">
      <formula>MOD(ROW(),2)=1</formula>
    </cfRule>
  </conditionalFormatting>
  <conditionalFormatting sqref="X10 X13:X16 X18:X21">
    <cfRule type="expression" dxfId="418" priority="323" stopIfTrue="1">
      <formula>MOD(ROW(),2)=1</formula>
    </cfRule>
  </conditionalFormatting>
  <conditionalFormatting sqref="X53">
    <cfRule type="expression" dxfId="417" priority="322" stopIfTrue="1">
      <formula>MOD(ROW(),2)=1</formula>
    </cfRule>
  </conditionalFormatting>
  <conditionalFormatting sqref="X41:X43">
    <cfRule type="expression" dxfId="416" priority="321" stopIfTrue="1">
      <formula>MOD(ROW(),2)=1</formula>
    </cfRule>
  </conditionalFormatting>
  <conditionalFormatting sqref="X31">
    <cfRule type="expression" dxfId="415" priority="320" stopIfTrue="1">
      <formula>MOD(ROW(),2)=1</formula>
    </cfRule>
  </conditionalFormatting>
  <conditionalFormatting sqref="X62:X64">
    <cfRule type="expression" dxfId="414" priority="319" stopIfTrue="1">
      <formula>MOD(ROW(),2)=1</formula>
    </cfRule>
  </conditionalFormatting>
  <conditionalFormatting sqref="X11">
    <cfRule type="expression" dxfId="413" priority="318" stopIfTrue="1">
      <formula>MOD(ROW(),2)=1</formula>
    </cfRule>
  </conditionalFormatting>
  <conditionalFormatting sqref="X11">
    <cfRule type="expression" dxfId="412" priority="317" stopIfTrue="1">
      <formula>MOD(ROW(),2)=1</formula>
    </cfRule>
  </conditionalFormatting>
  <conditionalFormatting sqref="X12">
    <cfRule type="expression" dxfId="411" priority="316" stopIfTrue="1">
      <formula>MOD(ROW(),2)=1</formula>
    </cfRule>
  </conditionalFormatting>
  <conditionalFormatting sqref="X12">
    <cfRule type="expression" dxfId="410" priority="315" stopIfTrue="1">
      <formula>MOD(ROW(),2)=1</formula>
    </cfRule>
  </conditionalFormatting>
  <conditionalFormatting sqref="X32:X34">
    <cfRule type="expression" dxfId="409" priority="314" stopIfTrue="1">
      <formula>MOD(ROW(),2)=1</formula>
    </cfRule>
  </conditionalFormatting>
  <conditionalFormatting sqref="X32:X34">
    <cfRule type="expression" dxfId="408" priority="313" stopIfTrue="1">
      <formula>MOD(ROW(),2)=1</formula>
    </cfRule>
  </conditionalFormatting>
  <conditionalFormatting sqref="X46">
    <cfRule type="expression" dxfId="407" priority="312" stopIfTrue="1">
      <formula>MOD(ROW(),2)=1</formula>
    </cfRule>
  </conditionalFormatting>
  <conditionalFormatting sqref="X22:X23">
    <cfRule type="expression" dxfId="406" priority="311" stopIfTrue="1">
      <formula>MOD(ROW(),2)=1</formula>
    </cfRule>
  </conditionalFormatting>
  <conditionalFormatting sqref="X22:X23">
    <cfRule type="expression" dxfId="405" priority="310" stopIfTrue="1">
      <formula>MOD(ROW(),2)=1</formula>
    </cfRule>
  </conditionalFormatting>
  <conditionalFormatting sqref="Y47:Y69">
    <cfRule type="expression" dxfId="404" priority="309" stopIfTrue="1">
      <formula>MOD(ROW(),2)=1</formula>
    </cfRule>
  </conditionalFormatting>
  <conditionalFormatting sqref="Y7:Y10 Y13:Y16 Y35:Y45 Y18:Y21 Y24:Y31">
    <cfRule type="expression" dxfId="403" priority="308" stopIfTrue="1">
      <formula>MOD(ROW(),2)=1</formula>
    </cfRule>
  </conditionalFormatting>
  <conditionalFormatting sqref="Y7:Y9 Y47:Y56 Y35:Y40 Y24:Y30">
    <cfRule type="expression" dxfId="402" priority="307" stopIfTrue="1">
      <formula>MOD(ROW(),2)=1</formula>
    </cfRule>
  </conditionalFormatting>
  <conditionalFormatting sqref="Y10 Y13:Y16 Y18:Y21">
    <cfRule type="expression" dxfId="401" priority="306" stopIfTrue="1">
      <formula>MOD(ROW(),2)=1</formula>
    </cfRule>
  </conditionalFormatting>
  <conditionalFormatting sqref="Y53">
    <cfRule type="expression" dxfId="400" priority="305" stopIfTrue="1">
      <formula>MOD(ROW(),2)=1</formula>
    </cfRule>
  </conditionalFormatting>
  <conditionalFormatting sqref="Y41:Y43">
    <cfRule type="expression" dxfId="399" priority="304" stopIfTrue="1">
      <formula>MOD(ROW(),2)=1</formula>
    </cfRule>
  </conditionalFormatting>
  <conditionalFormatting sqref="Y31">
    <cfRule type="expression" dxfId="398" priority="303" stopIfTrue="1">
      <formula>MOD(ROW(),2)=1</formula>
    </cfRule>
  </conditionalFormatting>
  <conditionalFormatting sqref="Y62:Y64">
    <cfRule type="expression" dxfId="397" priority="302" stopIfTrue="1">
      <formula>MOD(ROW(),2)=1</formula>
    </cfRule>
  </conditionalFormatting>
  <conditionalFormatting sqref="Y11">
    <cfRule type="expression" dxfId="396" priority="301" stopIfTrue="1">
      <formula>MOD(ROW(),2)=1</formula>
    </cfRule>
  </conditionalFormatting>
  <conditionalFormatting sqref="Y11">
    <cfRule type="expression" dxfId="395" priority="300" stopIfTrue="1">
      <formula>MOD(ROW(),2)=1</formula>
    </cfRule>
  </conditionalFormatting>
  <conditionalFormatting sqref="Y12">
    <cfRule type="expression" dxfId="394" priority="299" stopIfTrue="1">
      <formula>MOD(ROW(),2)=1</formula>
    </cfRule>
  </conditionalFormatting>
  <conditionalFormatting sqref="Y12">
    <cfRule type="expression" dxfId="393" priority="298" stopIfTrue="1">
      <formula>MOD(ROW(),2)=1</formula>
    </cfRule>
  </conditionalFormatting>
  <conditionalFormatting sqref="Y32:Y34">
    <cfRule type="expression" dxfId="392" priority="297" stopIfTrue="1">
      <formula>MOD(ROW(),2)=1</formula>
    </cfRule>
  </conditionalFormatting>
  <conditionalFormatting sqref="Y32:Y34">
    <cfRule type="expression" dxfId="391" priority="296" stopIfTrue="1">
      <formula>MOD(ROW(),2)=1</formula>
    </cfRule>
  </conditionalFormatting>
  <conditionalFormatting sqref="Y46">
    <cfRule type="expression" dxfId="390" priority="295" stopIfTrue="1">
      <formula>MOD(ROW(),2)=1</formula>
    </cfRule>
  </conditionalFormatting>
  <conditionalFormatting sqref="Y22:Y23">
    <cfRule type="expression" dxfId="389" priority="294" stopIfTrue="1">
      <formula>MOD(ROW(),2)=1</formula>
    </cfRule>
  </conditionalFormatting>
  <conditionalFormatting sqref="Y22:Y23">
    <cfRule type="expression" dxfId="388" priority="293" stopIfTrue="1">
      <formula>MOD(ROW(),2)=1</formula>
    </cfRule>
  </conditionalFormatting>
  <conditionalFormatting sqref="Z52 Z44:Z45 Z57:Z61 Z65:Z69">
    <cfRule type="expression" dxfId="387" priority="292" stopIfTrue="1">
      <formula>MOD(ROW(),2)=1</formula>
    </cfRule>
  </conditionalFormatting>
  <conditionalFormatting sqref="Z7:Z9 Z47:Z56 Z35:Z40 Z24:Z30">
    <cfRule type="expression" dxfId="386" priority="291" stopIfTrue="1">
      <formula>MOD(ROW(),2)=1</formula>
    </cfRule>
  </conditionalFormatting>
  <conditionalFormatting sqref="Z10 Z13:Z16 Z18:Z21">
    <cfRule type="expression" dxfId="385" priority="290" stopIfTrue="1">
      <formula>MOD(ROW(),2)=1</formula>
    </cfRule>
  </conditionalFormatting>
  <conditionalFormatting sqref="Z41:Z43">
    <cfRule type="expression" dxfId="384" priority="289" stopIfTrue="1">
      <formula>MOD(ROW(),2)=1</formula>
    </cfRule>
  </conditionalFormatting>
  <conditionalFormatting sqref="Z31">
    <cfRule type="expression" dxfId="383" priority="288" stopIfTrue="1">
      <formula>MOD(ROW(),2)=1</formula>
    </cfRule>
  </conditionalFormatting>
  <conditionalFormatting sqref="Z62:Z64">
    <cfRule type="expression" dxfId="382" priority="287" stopIfTrue="1">
      <formula>MOD(ROW(),2)=1</formula>
    </cfRule>
  </conditionalFormatting>
  <conditionalFormatting sqref="Z11">
    <cfRule type="expression" dxfId="381" priority="286" stopIfTrue="1">
      <formula>MOD(ROW(),2)=1</formula>
    </cfRule>
  </conditionalFormatting>
  <conditionalFormatting sqref="Z12">
    <cfRule type="expression" dxfId="380" priority="285" stopIfTrue="1">
      <formula>MOD(ROW(),2)=1</formula>
    </cfRule>
  </conditionalFormatting>
  <conditionalFormatting sqref="Z32:Z34">
    <cfRule type="expression" dxfId="379" priority="284" stopIfTrue="1">
      <formula>MOD(ROW(),2)=1</formula>
    </cfRule>
  </conditionalFormatting>
  <conditionalFormatting sqref="Z46">
    <cfRule type="expression" dxfId="378" priority="283" stopIfTrue="1">
      <formula>MOD(ROW(),2)=1</formula>
    </cfRule>
  </conditionalFormatting>
  <conditionalFormatting sqref="Z22:Z23">
    <cfRule type="expression" dxfId="377" priority="282" stopIfTrue="1">
      <formula>MOD(ROW(),2)=1</formula>
    </cfRule>
  </conditionalFormatting>
  <conditionalFormatting sqref="AA47:AA69">
    <cfRule type="expression" dxfId="376" priority="281" stopIfTrue="1">
      <formula>MOD(ROW(),2)=1</formula>
    </cfRule>
  </conditionalFormatting>
  <conditionalFormatting sqref="AA7:AA10 AA13:AA16 AA35:AA45 AA18:AA21 AA24:AA31">
    <cfRule type="expression" dxfId="375" priority="280" stopIfTrue="1">
      <formula>MOD(ROW(),2)=1</formula>
    </cfRule>
  </conditionalFormatting>
  <conditionalFormatting sqref="AA7:AA9 AA47:AA56 AA35:AA40 AA24:AA30">
    <cfRule type="expression" dxfId="374" priority="279" stopIfTrue="1">
      <formula>MOD(ROW(),2)=1</formula>
    </cfRule>
  </conditionalFormatting>
  <conditionalFormatting sqref="AA10 AA13:AA16 AA18:AA21">
    <cfRule type="expression" dxfId="373" priority="278" stopIfTrue="1">
      <formula>MOD(ROW(),2)=1</formula>
    </cfRule>
  </conditionalFormatting>
  <conditionalFormatting sqref="AA53">
    <cfRule type="expression" dxfId="372" priority="277" stopIfTrue="1">
      <formula>MOD(ROW(),2)=1</formula>
    </cfRule>
  </conditionalFormatting>
  <conditionalFormatting sqref="AA41:AA43">
    <cfRule type="expression" dxfId="371" priority="276" stopIfTrue="1">
      <formula>MOD(ROW(),2)=1</formula>
    </cfRule>
  </conditionalFormatting>
  <conditionalFormatting sqref="AA31">
    <cfRule type="expression" dxfId="370" priority="275" stopIfTrue="1">
      <formula>MOD(ROW(),2)=1</formula>
    </cfRule>
  </conditionalFormatting>
  <conditionalFormatting sqref="AA62:AA64">
    <cfRule type="expression" dxfId="369" priority="274" stopIfTrue="1">
      <formula>MOD(ROW(),2)=1</formula>
    </cfRule>
  </conditionalFormatting>
  <conditionalFormatting sqref="AA11">
    <cfRule type="expression" dxfId="368" priority="273" stopIfTrue="1">
      <formula>MOD(ROW(),2)=1</formula>
    </cfRule>
  </conditionalFormatting>
  <conditionalFormatting sqref="AA11">
    <cfRule type="expression" dxfId="367" priority="272" stopIfTrue="1">
      <formula>MOD(ROW(),2)=1</formula>
    </cfRule>
  </conditionalFormatting>
  <conditionalFormatting sqref="AA12">
    <cfRule type="expression" dxfId="366" priority="271" stopIfTrue="1">
      <formula>MOD(ROW(),2)=1</formula>
    </cfRule>
  </conditionalFormatting>
  <conditionalFormatting sqref="AA12">
    <cfRule type="expression" dxfId="365" priority="270" stopIfTrue="1">
      <formula>MOD(ROW(),2)=1</formula>
    </cfRule>
  </conditionalFormatting>
  <conditionalFormatting sqref="AA32:AA33">
    <cfRule type="expression" dxfId="364" priority="269" stopIfTrue="1">
      <formula>MOD(ROW(),2)=1</formula>
    </cfRule>
  </conditionalFormatting>
  <conditionalFormatting sqref="AA32:AA33">
    <cfRule type="expression" dxfId="363" priority="268" stopIfTrue="1">
      <formula>MOD(ROW(),2)=1</formula>
    </cfRule>
  </conditionalFormatting>
  <conditionalFormatting sqref="AA46">
    <cfRule type="expression" dxfId="362" priority="267" stopIfTrue="1">
      <formula>MOD(ROW(),2)=1</formula>
    </cfRule>
  </conditionalFormatting>
  <conditionalFormatting sqref="AA22:AA23">
    <cfRule type="expression" dxfId="361" priority="266" stopIfTrue="1">
      <formula>MOD(ROW(),2)=1</formula>
    </cfRule>
  </conditionalFormatting>
  <conditionalFormatting sqref="AA22:AA23">
    <cfRule type="expression" dxfId="360" priority="265" stopIfTrue="1">
      <formula>MOD(ROW(),2)=1</formula>
    </cfRule>
  </conditionalFormatting>
  <conditionalFormatting sqref="AB47:AB69">
    <cfRule type="expression" dxfId="359" priority="264" stopIfTrue="1">
      <formula>MOD(ROW(),2)=1</formula>
    </cfRule>
  </conditionalFormatting>
  <conditionalFormatting sqref="AB7:AB10 AB13:AB16 AB35:AB45 AB18:AB21 AB24:AB31">
    <cfRule type="expression" dxfId="358" priority="263" stopIfTrue="1">
      <formula>MOD(ROW(),2)=1</formula>
    </cfRule>
  </conditionalFormatting>
  <conditionalFormatting sqref="AB7:AB9 AB47:AB56 AB35:AB40 AB24:AB30">
    <cfRule type="expression" dxfId="357" priority="262" stopIfTrue="1">
      <formula>MOD(ROW(),2)=1</formula>
    </cfRule>
  </conditionalFormatting>
  <conditionalFormatting sqref="AB10 AB13:AB16 AB18:AB21">
    <cfRule type="expression" dxfId="356" priority="261" stopIfTrue="1">
      <formula>MOD(ROW(),2)=1</formula>
    </cfRule>
  </conditionalFormatting>
  <conditionalFormatting sqref="AB53">
    <cfRule type="expression" dxfId="355" priority="260" stopIfTrue="1">
      <formula>MOD(ROW(),2)=1</formula>
    </cfRule>
  </conditionalFormatting>
  <conditionalFormatting sqref="AB41:AB43">
    <cfRule type="expression" dxfId="354" priority="259" stopIfTrue="1">
      <formula>MOD(ROW(),2)=1</formula>
    </cfRule>
  </conditionalFormatting>
  <conditionalFormatting sqref="AB31">
    <cfRule type="expression" dxfId="353" priority="258" stopIfTrue="1">
      <formula>MOD(ROW(),2)=1</formula>
    </cfRule>
  </conditionalFormatting>
  <conditionalFormatting sqref="AB62:AB64">
    <cfRule type="expression" dxfId="352" priority="257" stopIfTrue="1">
      <formula>MOD(ROW(),2)=1</formula>
    </cfRule>
  </conditionalFormatting>
  <conditionalFormatting sqref="AB11">
    <cfRule type="expression" dxfId="351" priority="256" stopIfTrue="1">
      <formula>MOD(ROW(),2)=1</formula>
    </cfRule>
  </conditionalFormatting>
  <conditionalFormatting sqref="AB11">
    <cfRule type="expression" dxfId="350" priority="255" stopIfTrue="1">
      <formula>MOD(ROW(),2)=1</formula>
    </cfRule>
  </conditionalFormatting>
  <conditionalFormatting sqref="AB12">
    <cfRule type="expression" dxfId="349" priority="254" stopIfTrue="1">
      <formula>MOD(ROW(),2)=1</formula>
    </cfRule>
  </conditionalFormatting>
  <conditionalFormatting sqref="AB12">
    <cfRule type="expression" dxfId="348" priority="253" stopIfTrue="1">
      <formula>MOD(ROW(),2)=1</formula>
    </cfRule>
  </conditionalFormatting>
  <conditionalFormatting sqref="AB32:AB33">
    <cfRule type="expression" dxfId="347" priority="252" stopIfTrue="1">
      <formula>MOD(ROW(),2)=1</formula>
    </cfRule>
  </conditionalFormatting>
  <conditionalFormatting sqref="AB32:AB33">
    <cfRule type="expression" dxfId="346" priority="251" stopIfTrue="1">
      <formula>MOD(ROW(),2)=1</formula>
    </cfRule>
  </conditionalFormatting>
  <conditionalFormatting sqref="AB46">
    <cfRule type="expression" dxfId="345" priority="250" stopIfTrue="1">
      <formula>MOD(ROW(),2)=1</formula>
    </cfRule>
  </conditionalFormatting>
  <conditionalFormatting sqref="AB22:AB23">
    <cfRule type="expression" dxfId="344" priority="249" stopIfTrue="1">
      <formula>MOD(ROW(),2)=1</formula>
    </cfRule>
  </conditionalFormatting>
  <conditionalFormatting sqref="AB22:AB23">
    <cfRule type="expression" dxfId="343" priority="248" stopIfTrue="1">
      <formula>MOD(ROW(),2)=1</formula>
    </cfRule>
  </conditionalFormatting>
  <conditionalFormatting sqref="AC47:AC69">
    <cfRule type="expression" dxfId="342" priority="247" stopIfTrue="1">
      <formula>MOD(ROW(),2)=1</formula>
    </cfRule>
  </conditionalFormatting>
  <conditionalFormatting sqref="AC7:AC10 AC13:AC16 AC35:AC45 AC18:AC21 AC24:AC31">
    <cfRule type="expression" dxfId="341" priority="246" stopIfTrue="1">
      <formula>MOD(ROW(),2)=1</formula>
    </cfRule>
  </conditionalFormatting>
  <conditionalFormatting sqref="AC7:AC9 AC47:AC56 AC35:AC40 AC24:AC30">
    <cfRule type="expression" dxfId="340" priority="245" stopIfTrue="1">
      <formula>MOD(ROW(),2)=1</formula>
    </cfRule>
  </conditionalFormatting>
  <conditionalFormatting sqref="AC10 AC13:AC16 AC18:AC21">
    <cfRule type="expression" dxfId="339" priority="244" stopIfTrue="1">
      <formula>MOD(ROW(),2)=1</formula>
    </cfRule>
  </conditionalFormatting>
  <conditionalFormatting sqref="AC53">
    <cfRule type="expression" dxfId="338" priority="243" stopIfTrue="1">
      <formula>MOD(ROW(),2)=1</formula>
    </cfRule>
  </conditionalFormatting>
  <conditionalFormatting sqref="AC41:AC43">
    <cfRule type="expression" dxfId="337" priority="242" stopIfTrue="1">
      <formula>MOD(ROW(),2)=1</formula>
    </cfRule>
  </conditionalFormatting>
  <conditionalFormatting sqref="AC31">
    <cfRule type="expression" dxfId="336" priority="241" stopIfTrue="1">
      <formula>MOD(ROW(),2)=1</formula>
    </cfRule>
  </conditionalFormatting>
  <conditionalFormatting sqref="AC62:AC64">
    <cfRule type="expression" dxfId="335" priority="240" stopIfTrue="1">
      <formula>MOD(ROW(),2)=1</formula>
    </cfRule>
  </conditionalFormatting>
  <conditionalFormatting sqref="AC11">
    <cfRule type="expression" dxfId="334" priority="239" stopIfTrue="1">
      <formula>MOD(ROW(),2)=1</formula>
    </cfRule>
  </conditionalFormatting>
  <conditionalFormatting sqref="AC11">
    <cfRule type="expression" dxfId="333" priority="238" stopIfTrue="1">
      <formula>MOD(ROW(),2)=1</formula>
    </cfRule>
  </conditionalFormatting>
  <conditionalFormatting sqref="AC12">
    <cfRule type="expression" dxfId="332" priority="237" stopIfTrue="1">
      <formula>MOD(ROW(),2)=1</formula>
    </cfRule>
  </conditionalFormatting>
  <conditionalFormatting sqref="AC12">
    <cfRule type="expression" dxfId="331" priority="236" stopIfTrue="1">
      <formula>MOD(ROW(),2)=1</formula>
    </cfRule>
  </conditionalFormatting>
  <conditionalFormatting sqref="AC32:AC33">
    <cfRule type="expression" dxfId="330" priority="235" stopIfTrue="1">
      <formula>MOD(ROW(),2)=1</formula>
    </cfRule>
  </conditionalFormatting>
  <conditionalFormatting sqref="AC32:AC33">
    <cfRule type="expression" dxfId="329" priority="234" stopIfTrue="1">
      <formula>MOD(ROW(),2)=1</formula>
    </cfRule>
  </conditionalFormatting>
  <conditionalFormatting sqref="AC46">
    <cfRule type="expression" dxfId="328" priority="233" stopIfTrue="1">
      <formula>MOD(ROW(),2)=1</formula>
    </cfRule>
  </conditionalFormatting>
  <conditionalFormatting sqref="AC22:AC23">
    <cfRule type="expression" dxfId="327" priority="232" stopIfTrue="1">
      <formula>MOD(ROW(),2)=1</formula>
    </cfRule>
  </conditionalFormatting>
  <conditionalFormatting sqref="AC22:AC23">
    <cfRule type="expression" dxfId="326" priority="231" stopIfTrue="1">
      <formula>MOD(ROW(),2)=1</formula>
    </cfRule>
  </conditionalFormatting>
  <conditionalFormatting sqref="A17:O17">
    <cfRule type="expression" dxfId="325" priority="230" stopIfTrue="1">
      <formula>MOD(ROW(),2)=1</formula>
    </cfRule>
  </conditionalFormatting>
  <conditionalFormatting sqref="K17:O17">
    <cfRule type="expression" dxfId="324" priority="229" stopIfTrue="1">
      <formula>MOD(ROW(),2)=1</formula>
    </cfRule>
  </conditionalFormatting>
  <conditionalFormatting sqref="P17">
    <cfRule type="expression" dxfId="323" priority="228" stopIfTrue="1">
      <formula>MOD(ROW(),2)=1</formula>
    </cfRule>
  </conditionalFormatting>
  <conditionalFormatting sqref="Q17">
    <cfRule type="expression" dxfId="322" priority="227" stopIfTrue="1">
      <formula>MOD(ROW(),2)=1</formula>
    </cfRule>
  </conditionalFormatting>
  <conditionalFormatting sqref="Q17">
    <cfRule type="expression" dxfId="321" priority="226" stopIfTrue="1">
      <formula>MOD(ROW(),2)=1</formula>
    </cfRule>
  </conditionalFormatting>
  <conditionalFormatting sqref="R17">
    <cfRule type="expression" dxfId="320" priority="225" stopIfTrue="1">
      <formula>MOD(ROW(),2)=1</formula>
    </cfRule>
  </conditionalFormatting>
  <conditionalFormatting sqref="R17">
    <cfRule type="expression" dxfId="319" priority="224" stopIfTrue="1">
      <formula>MOD(ROW(),2)=1</formula>
    </cfRule>
  </conditionalFormatting>
  <conditionalFormatting sqref="S17">
    <cfRule type="expression" dxfId="318" priority="223" stopIfTrue="1">
      <formula>MOD(ROW(),2)=1</formula>
    </cfRule>
  </conditionalFormatting>
  <conditionalFormatting sqref="S17">
    <cfRule type="expression" dxfId="317" priority="222" stopIfTrue="1">
      <formula>MOD(ROW(),2)=1</formula>
    </cfRule>
  </conditionalFormatting>
  <conditionalFormatting sqref="T17">
    <cfRule type="expression" dxfId="316" priority="221" stopIfTrue="1">
      <formula>MOD(ROW(),2)=1</formula>
    </cfRule>
  </conditionalFormatting>
  <conditionalFormatting sqref="T17">
    <cfRule type="expression" dxfId="315" priority="220" stopIfTrue="1">
      <formula>MOD(ROW(),2)=1</formula>
    </cfRule>
  </conditionalFormatting>
  <conditionalFormatting sqref="U17">
    <cfRule type="expression" dxfId="314" priority="219" stopIfTrue="1">
      <formula>MOD(ROW(),2)=1</formula>
    </cfRule>
  </conditionalFormatting>
  <conditionalFormatting sqref="V17">
    <cfRule type="expression" dxfId="313" priority="218" stopIfTrue="1">
      <formula>MOD(ROW(),2)=1</formula>
    </cfRule>
  </conditionalFormatting>
  <conditionalFormatting sqref="V17">
    <cfRule type="expression" dxfId="312" priority="217" stopIfTrue="1">
      <formula>MOD(ROW(),2)=1</formula>
    </cfRule>
  </conditionalFormatting>
  <conditionalFormatting sqref="W17">
    <cfRule type="expression" dxfId="311" priority="216" stopIfTrue="1">
      <formula>MOD(ROW(),2)=1</formula>
    </cfRule>
  </conditionalFormatting>
  <conditionalFormatting sqref="W17">
    <cfRule type="expression" dxfId="310" priority="215" stopIfTrue="1">
      <formula>MOD(ROW(),2)=1</formula>
    </cfRule>
  </conditionalFormatting>
  <conditionalFormatting sqref="X17">
    <cfRule type="expression" dxfId="309" priority="214" stopIfTrue="1">
      <formula>MOD(ROW(),2)=1</formula>
    </cfRule>
  </conditionalFormatting>
  <conditionalFormatting sqref="X17">
    <cfRule type="expression" dxfId="308" priority="213" stopIfTrue="1">
      <formula>MOD(ROW(),2)=1</formula>
    </cfRule>
  </conditionalFormatting>
  <conditionalFormatting sqref="Y17">
    <cfRule type="expression" dxfId="307" priority="212" stopIfTrue="1">
      <formula>MOD(ROW(),2)=1</formula>
    </cfRule>
  </conditionalFormatting>
  <conditionalFormatting sqref="Y17">
    <cfRule type="expression" dxfId="306" priority="211" stopIfTrue="1">
      <formula>MOD(ROW(),2)=1</formula>
    </cfRule>
  </conditionalFormatting>
  <conditionalFormatting sqref="Z17">
    <cfRule type="expression" dxfId="305" priority="210" stopIfTrue="1">
      <formula>MOD(ROW(),2)=1</formula>
    </cfRule>
  </conditionalFormatting>
  <conditionalFormatting sqref="AA17">
    <cfRule type="expression" dxfId="304" priority="209" stopIfTrue="1">
      <formula>MOD(ROW(),2)=1</formula>
    </cfRule>
  </conditionalFormatting>
  <conditionalFormatting sqref="AA17">
    <cfRule type="expression" dxfId="303" priority="208" stopIfTrue="1">
      <formula>MOD(ROW(),2)=1</formula>
    </cfRule>
  </conditionalFormatting>
  <conditionalFormatting sqref="AB17">
    <cfRule type="expression" dxfId="302" priority="207" stopIfTrue="1">
      <formula>MOD(ROW(),2)=1</formula>
    </cfRule>
  </conditionalFormatting>
  <conditionalFormatting sqref="AB17">
    <cfRule type="expression" dxfId="301" priority="206" stopIfTrue="1">
      <formula>MOD(ROW(),2)=1</formula>
    </cfRule>
  </conditionalFormatting>
  <conditionalFormatting sqref="AC17">
    <cfRule type="expression" dxfId="300" priority="205" stopIfTrue="1">
      <formula>MOD(ROW(),2)=1</formula>
    </cfRule>
  </conditionalFormatting>
  <conditionalFormatting sqref="AC17">
    <cfRule type="expression" dxfId="299" priority="204" stopIfTrue="1">
      <formula>MOD(ROW(),2)=1</formula>
    </cfRule>
  </conditionalFormatting>
  <conditionalFormatting sqref="A33:O34">
    <cfRule type="expression" dxfId="298" priority="203" stopIfTrue="1">
      <formula>MOD(ROW(),2)=1</formula>
    </cfRule>
  </conditionalFormatting>
  <conditionalFormatting sqref="K33:O34">
    <cfRule type="expression" dxfId="297" priority="202" stopIfTrue="1">
      <formula>MOD(ROW(),2)=1</formula>
    </cfRule>
  </conditionalFormatting>
  <conditionalFormatting sqref="P33:P34">
    <cfRule type="expression" dxfId="296" priority="201" stopIfTrue="1">
      <formula>MOD(ROW(),2)=1</formula>
    </cfRule>
  </conditionalFormatting>
  <conditionalFormatting sqref="Q33:Q34">
    <cfRule type="expression" dxfId="295" priority="200" stopIfTrue="1">
      <formula>MOD(ROW(),2)=1</formula>
    </cfRule>
  </conditionalFormatting>
  <conditionalFormatting sqref="Q33:Q34">
    <cfRule type="expression" dxfId="294" priority="199" stopIfTrue="1">
      <formula>MOD(ROW(),2)=1</formula>
    </cfRule>
  </conditionalFormatting>
  <conditionalFormatting sqref="R33:R34">
    <cfRule type="expression" dxfId="293" priority="198" stopIfTrue="1">
      <formula>MOD(ROW(),2)=1</formula>
    </cfRule>
  </conditionalFormatting>
  <conditionalFormatting sqref="R33:R34">
    <cfRule type="expression" dxfId="292" priority="197" stopIfTrue="1">
      <formula>MOD(ROW(),2)=1</formula>
    </cfRule>
  </conditionalFormatting>
  <conditionalFormatting sqref="S33:S34">
    <cfRule type="expression" dxfId="291" priority="196" stopIfTrue="1">
      <formula>MOD(ROW(),2)=1</formula>
    </cfRule>
  </conditionalFormatting>
  <conditionalFormatting sqref="S33:S34">
    <cfRule type="expression" dxfId="290" priority="195" stopIfTrue="1">
      <formula>MOD(ROW(),2)=1</formula>
    </cfRule>
  </conditionalFormatting>
  <conditionalFormatting sqref="T33:T34">
    <cfRule type="expression" dxfId="289" priority="194" stopIfTrue="1">
      <formula>MOD(ROW(),2)=1</formula>
    </cfRule>
  </conditionalFormatting>
  <conditionalFormatting sqref="T33:T34">
    <cfRule type="expression" dxfId="288" priority="193" stopIfTrue="1">
      <formula>MOD(ROW(),2)=1</formula>
    </cfRule>
  </conditionalFormatting>
  <conditionalFormatting sqref="U33:U34">
    <cfRule type="expression" dxfId="287" priority="192" stopIfTrue="1">
      <formula>MOD(ROW(),2)=1</formula>
    </cfRule>
  </conditionalFormatting>
  <conditionalFormatting sqref="V33:V34">
    <cfRule type="expression" dxfId="286" priority="191" stopIfTrue="1">
      <formula>MOD(ROW(),2)=1</formula>
    </cfRule>
  </conditionalFormatting>
  <conditionalFormatting sqref="V33:V34">
    <cfRule type="expression" dxfId="285" priority="190" stopIfTrue="1">
      <formula>MOD(ROW(),2)=1</formula>
    </cfRule>
  </conditionalFormatting>
  <conditionalFormatting sqref="W33:W34">
    <cfRule type="expression" dxfId="284" priority="189" stopIfTrue="1">
      <formula>MOD(ROW(),2)=1</formula>
    </cfRule>
  </conditionalFormatting>
  <conditionalFormatting sqref="W33:W34">
    <cfRule type="expression" dxfId="283" priority="188" stopIfTrue="1">
      <formula>MOD(ROW(),2)=1</formula>
    </cfRule>
  </conditionalFormatting>
  <conditionalFormatting sqref="X33:X34">
    <cfRule type="expression" dxfId="282" priority="187" stopIfTrue="1">
      <formula>MOD(ROW(),2)=1</formula>
    </cfRule>
  </conditionalFormatting>
  <conditionalFormatting sqref="X33:X34">
    <cfRule type="expression" dxfId="281" priority="186" stopIfTrue="1">
      <formula>MOD(ROW(),2)=1</formula>
    </cfRule>
  </conditionalFormatting>
  <conditionalFormatting sqref="Y33:Y34">
    <cfRule type="expression" dxfId="280" priority="185" stopIfTrue="1">
      <formula>MOD(ROW(),2)=1</formula>
    </cfRule>
  </conditionalFormatting>
  <conditionalFormatting sqref="Y33:Y34">
    <cfRule type="expression" dxfId="279" priority="184" stopIfTrue="1">
      <formula>MOD(ROW(),2)=1</formula>
    </cfRule>
  </conditionalFormatting>
  <conditionalFormatting sqref="Z33:Z34">
    <cfRule type="expression" dxfId="278" priority="183" stopIfTrue="1">
      <formula>MOD(ROW(),2)=1</formula>
    </cfRule>
  </conditionalFormatting>
  <conditionalFormatting sqref="AA33">
    <cfRule type="expression" dxfId="277" priority="182" stopIfTrue="1">
      <formula>MOD(ROW(),2)=1</formula>
    </cfRule>
  </conditionalFormatting>
  <conditionalFormatting sqref="AA33">
    <cfRule type="expression" dxfId="276" priority="181" stopIfTrue="1">
      <formula>MOD(ROW(),2)=1</formula>
    </cfRule>
  </conditionalFormatting>
  <conditionalFormatting sqref="AB33">
    <cfRule type="expression" dxfId="275" priority="180" stopIfTrue="1">
      <formula>MOD(ROW(),2)=1</formula>
    </cfRule>
  </conditionalFormatting>
  <conditionalFormatting sqref="AB33">
    <cfRule type="expression" dxfId="274" priority="179" stopIfTrue="1">
      <formula>MOD(ROW(),2)=1</formula>
    </cfRule>
  </conditionalFormatting>
  <conditionalFormatting sqref="AC33">
    <cfRule type="expression" dxfId="273" priority="178" stopIfTrue="1">
      <formula>MOD(ROW(),2)=1</formula>
    </cfRule>
  </conditionalFormatting>
  <conditionalFormatting sqref="AC33">
    <cfRule type="expression" dxfId="272" priority="177" stopIfTrue="1">
      <formula>MOD(ROW(),2)=1</formula>
    </cfRule>
  </conditionalFormatting>
  <conditionalFormatting sqref="AD47:AD69">
    <cfRule type="expression" dxfId="271" priority="176" stopIfTrue="1">
      <formula>MOD(ROW(),2)=1</formula>
    </cfRule>
  </conditionalFormatting>
  <conditionalFormatting sqref="AD7:AD10 AD13:AD16 AD35:AD45 AD18:AD21 AD24:AD31">
    <cfRule type="expression" dxfId="270" priority="175" stopIfTrue="1">
      <formula>MOD(ROW(),2)=1</formula>
    </cfRule>
  </conditionalFormatting>
  <conditionalFormatting sqref="AD7:AD9 AD47:AD56 AD35:AD40 AD24:AD30">
    <cfRule type="expression" dxfId="269" priority="174" stopIfTrue="1">
      <formula>MOD(ROW(),2)=1</formula>
    </cfRule>
  </conditionalFormatting>
  <conditionalFormatting sqref="AD10 AD13:AD16 AD18:AD21">
    <cfRule type="expression" dxfId="268" priority="173" stopIfTrue="1">
      <formula>MOD(ROW(),2)=1</formula>
    </cfRule>
  </conditionalFormatting>
  <conditionalFormatting sqref="AD53">
    <cfRule type="expression" dxfId="267" priority="172" stopIfTrue="1">
      <formula>MOD(ROW(),2)=1</formula>
    </cfRule>
  </conditionalFormatting>
  <conditionalFormatting sqref="AD41:AD43">
    <cfRule type="expression" dxfId="266" priority="171" stopIfTrue="1">
      <formula>MOD(ROW(),2)=1</formula>
    </cfRule>
  </conditionalFormatting>
  <conditionalFormatting sqref="AD31">
    <cfRule type="expression" dxfId="265" priority="170" stopIfTrue="1">
      <formula>MOD(ROW(),2)=1</formula>
    </cfRule>
  </conditionalFormatting>
  <conditionalFormatting sqref="AD62:AD64">
    <cfRule type="expression" dxfId="264" priority="169" stopIfTrue="1">
      <formula>MOD(ROW(),2)=1</formula>
    </cfRule>
  </conditionalFormatting>
  <conditionalFormatting sqref="AD11">
    <cfRule type="expression" dxfId="263" priority="168" stopIfTrue="1">
      <formula>MOD(ROW(),2)=1</formula>
    </cfRule>
  </conditionalFormatting>
  <conditionalFormatting sqref="AD11">
    <cfRule type="expression" dxfId="262" priority="167" stopIfTrue="1">
      <formula>MOD(ROW(),2)=1</formula>
    </cfRule>
  </conditionalFormatting>
  <conditionalFormatting sqref="AD12">
    <cfRule type="expression" dxfId="261" priority="166" stopIfTrue="1">
      <formula>MOD(ROW(),2)=1</formula>
    </cfRule>
  </conditionalFormatting>
  <conditionalFormatting sqref="AD12">
    <cfRule type="expression" dxfId="260" priority="165" stopIfTrue="1">
      <formula>MOD(ROW(),2)=1</formula>
    </cfRule>
  </conditionalFormatting>
  <conditionalFormatting sqref="AD32:AD33">
    <cfRule type="expression" dxfId="259" priority="164" stopIfTrue="1">
      <formula>MOD(ROW(),2)=1</formula>
    </cfRule>
  </conditionalFormatting>
  <conditionalFormatting sqref="AD32:AD33">
    <cfRule type="expression" dxfId="258" priority="163" stopIfTrue="1">
      <formula>MOD(ROW(),2)=1</formula>
    </cfRule>
  </conditionalFormatting>
  <conditionalFormatting sqref="AD46">
    <cfRule type="expression" dxfId="257" priority="162" stopIfTrue="1">
      <formula>MOD(ROW(),2)=1</formula>
    </cfRule>
  </conditionalFormatting>
  <conditionalFormatting sqref="AD22:AD23">
    <cfRule type="expression" dxfId="256" priority="161" stopIfTrue="1">
      <formula>MOD(ROW(),2)=1</formula>
    </cfRule>
  </conditionalFormatting>
  <conditionalFormatting sqref="AD22:AD23">
    <cfRule type="expression" dxfId="255" priority="160" stopIfTrue="1">
      <formula>MOD(ROW(),2)=1</formula>
    </cfRule>
  </conditionalFormatting>
  <conditionalFormatting sqref="AD17">
    <cfRule type="expression" dxfId="254" priority="159" stopIfTrue="1">
      <formula>MOD(ROW(),2)=1</formula>
    </cfRule>
  </conditionalFormatting>
  <conditionalFormatting sqref="AD17">
    <cfRule type="expression" dxfId="253" priority="158" stopIfTrue="1">
      <formula>MOD(ROW(),2)=1</formula>
    </cfRule>
  </conditionalFormatting>
  <conditionalFormatting sqref="AD33">
    <cfRule type="expression" dxfId="252" priority="157" stopIfTrue="1">
      <formula>MOD(ROW(),2)=1</formula>
    </cfRule>
  </conditionalFormatting>
  <conditionalFormatting sqref="AD33">
    <cfRule type="expression" dxfId="251" priority="156" stopIfTrue="1">
      <formula>MOD(ROW(),2)=1</formula>
    </cfRule>
  </conditionalFormatting>
  <conditionalFormatting sqref="AE52 AE44:AE45 AE57:AE61 AE65:AE69">
    <cfRule type="expression" dxfId="250" priority="155" stopIfTrue="1">
      <formula>MOD(ROW(),2)=1</formula>
    </cfRule>
  </conditionalFormatting>
  <conditionalFormatting sqref="AE7:AE9 AE47:AE56 AE24:AE30 AE34:AE40">
    <cfRule type="expression" dxfId="249" priority="154" stopIfTrue="1">
      <formula>MOD(ROW(),2)=1</formula>
    </cfRule>
  </conditionalFormatting>
  <conditionalFormatting sqref="AE10 AE13:AE16 AE18:AE21">
    <cfRule type="expression" dxfId="248" priority="153" stopIfTrue="1">
      <formula>MOD(ROW(),2)=1</formula>
    </cfRule>
  </conditionalFormatting>
  <conditionalFormatting sqref="AE41:AE43">
    <cfRule type="expression" dxfId="247" priority="152" stopIfTrue="1">
      <formula>MOD(ROW(),2)=1</formula>
    </cfRule>
  </conditionalFormatting>
  <conditionalFormatting sqref="AE31">
    <cfRule type="expression" dxfId="246" priority="151" stopIfTrue="1">
      <formula>MOD(ROW(),2)=1</formula>
    </cfRule>
  </conditionalFormatting>
  <conditionalFormatting sqref="AE62:AE64">
    <cfRule type="expression" dxfId="245" priority="150" stopIfTrue="1">
      <formula>MOD(ROW(),2)=1</formula>
    </cfRule>
  </conditionalFormatting>
  <conditionalFormatting sqref="AE11">
    <cfRule type="expression" dxfId="244" priority="149" stopIfTrue="1">
      <formula>MOD(ROW(),2)=1</formula>
    </cfRule>
  </conditionalFormatting>
  <conditionalFormatting sqref="AE12">
    <cfRule type="expression" dxfId="243" priority="148" stopIfTrue="1">
      <formula>MOD(ROW(),2)=1</formula>
    </cfRule>
  </conditionalFormatting>
  <conditionalFormatting sqref="AE32:AE33">
    <cfRule type="expression" dxfId="242" priority="147" stopIfTrue="1">
      <formula>MOD(ROW(),2)=1</formula>
    </cfRule>
  </conditionalFormatting>
  <conditionalFormatting sqref="AE46">
    <cfRule type="expression" dxfId="241" priority="146" stopIfTrue="1">
      <formula>MOD(ROW(),2)=1</formula>
    </cfRule>
  </conditionalFormatting>
  <conditionalFormatting sqref="AE22:AE23">
    <cfRule type="expression" dxfId="240" priority="145" stopIfTrue="1">
      <formula>MOD(ROW(),2)=1</formula>
    </cfRule>
  </conditionalFormatting>
  <conditionalFormatting sqref="AE17">
    <cfRule type="expression" dxfId="239" priority="144" stopIfTrue="1">
      <formula>MOD(ROW(),2)=1</formula>
    </cfRule>
  </conditionalFormatting>
  <conditionalFormatting sqref="AE33">
    <cfRule type="expression" dxfId="238" priority="143" stopIfTrue="1">
      <formula>MOD(ROW(),2)=1</formula>
    </cfRule>
  </conditionalFormatting>
  <conditionalFormatting sqref="B70:Q70">
    <cfRule type="expression" dxfId="237" priority="142" stopIfTrue="1">
      <formula>MOD(ROW(),2)=1</formula>
    </cfRule>
  </conditionalFormatting>
  <conditionalFormatting sqref="A70">
    <cfRule type="expression" dxfId="236" priority="141" stopIfTrue="1">
      <formula>MOD(ROW(),2)=1</formula>
    </cfRule>
  </conditionalFormatting>
  <conditionalFormatting sqref="R70">
    <cfRule type="expression" dxfId="235" priority="140" stopIfTrue="1">
      <formula>MOD(ROW(),2)=1</formula>
    </cfRule>
  </conditionalFormatting>
  <conditionalFormatting sqref="S70">
    <cfRule type="expression" dxfId="234" priority="139" stopIfTrue="1">
      <formula>MOD(ROW(),2)=1</formula>
    </cfRule>
  </conditionalFormatting>
  <conditionalFormatting sqref="T70">
    <cfRule type="expression" dxfId="233" priority="138" stopIfTrue="1">
      <formula>MOD(ROW(),2)=1</formula>
    </cfRule>
  </conditionalFormatting>
  <conditionalFormatting sqref="U70">
    <cfRule type="expression" dxfId="232" priority="137" stopIfTrue="1">
      <formula>MOD(ROW(),2)=1</formula>
    </cfRule>
  </conditionalFormatting>
  <conditionalFormatting sqref="V70">
    <cfRule type="expression" dxfId="231" priority="136" stopIfTrue="1">
      <formula>MOD(ROW(),2)=1</formula>
    </cfRule>
  </conditionalFormatting>
  <conditionalFormatting sqref="W70">
    <cfRule type="expression" dxfId="230" priority="135" stopIfTrue="1">
      <formula>MOD(ROW(),2)=1</formula>
    </cfRule>
  </conditionalFormatting>
  <conditionalFormatting sqref="X70">
    <cfRule type="expression" dxfId="229" priority="134" stopIfTrue="1">
      <formula>MOD(ROW(),2)=1</formula>
    </cfRule>
  </conditionalFormatting>
  <conditionalFormatting sqref="Y70">
    <cfRule type="expression" dxfId="228" priority="133" stopIfTrue="1">
      <formula>MOD(ROW(),2)=1</formula>
    </cfRule>
  </conditionalFormatting>
  <conditionalFormatting sqref="Z70">
    <cfRule type="expression" dxfId="227" priority="132" stopIfTrue="1">
      <formula>MOD(ROW(),2)=1</formula>
    </cfRule>
  </conditionalFormatting>
  <conditionalFormatting sqref="AA70">
    <cfRule type="expression" dxfId="226" priority="131" stopIfTrue="1">
      <formula>MOD(ROW(),2)=1</formula>
    </cfRule>
  </conditionalFormatting>
  <conditionalFormatting sqref="AB70">
    <cfRule type="expression" dxfId="225" priority="130" stopIfTrue="1">
      <formula>MOD(ROW(),2)=1</formula>
    </cfRule>
  </conditionalFormatting>
  <conditionalFormatting sqref="AC70">
    <cfRule type="expression" dxfId="224" priority="129" stopIfTrue="1">
      <formula>MOD(ROW(),2)=1</formula>
    </cfRule>
  </conditionalFormatting>
  <conditionalFormatting sqref="AD70">
    <cfRule type="expression" dxfId="223" priority="128" stopIfTrue="1">
      <formula>MOD(ROW(),2)=1</formula>
    </cfRule>
  </conditionalFormatting>
  <conditionalFormatting sqref="AE70">
    <cfRule type="expression" dxfId="222" priority="127" stopIfTrue="1">
      <formula>MOD(ROW(),2)=1</formula>
    </cfRule>
  </conditionalFormatting>
  <conditionalFormatting sqref="AF47:AF69">
    <cfRule type="expression" dxfId="221" priority="126" stopIfTrue="1">
      <formula>MOD(ROW(),2)=1</formula>
    </cfRule>
  </conditionalFormatting>
  <conditionalFormatting sqref="AF7:AF10 AF13:AF16 AF35:AF45 AF18:AF21 AF25:AF31">
    <cfRule type="expression" dxfId="220" priority="125" stopIfTrue="1">
      <formula>MOD(ROW(),2)=1</formula>
    </cfRule>
  </conditionalFormatting>
  <conditionalFormatting sqref="AF7:AF9 AF47:AF56 AF35:AF40 AF25:AF30">
    <cfRule type="expression" dxfId="219" priority="124" stopIfTrue="1">
      <formula>MOD(ROW(),2)=1</formula>
    </cfRule>
  </conditionalFormatting>
  <conditionalFormatting sqref="AF10:AG10 AF13:AG16 AF18:AG21">
    <cfRule type="expression" dxfId="218" priority="123" stopIfTrue="1">
      <formula>MOD(ROW(),2)=1</formula>
    </cfRule>
  </conditionalFormatting>
  <conditionalFormatting sqref="AF53:AG53">
    <cfRule type="expression" dxfId="217" priority="122" stopIfTrue="1">
      <formula>MOD(ROW(),2)=1</formula>
    </cfRule>
  </conditionalFormatting>
  <conditionalFormatting sqref="AF41:AF43">
    <cfRule type="expression" dxfId="216" priority="121" stopIfTrue="1">
      <formula>MOD(ROW(),2)=1</formula>
    </cfRule>
  </conditionalFormatting>
  <conditionalFormatting sqref="AF31:AG31">
    <cfRule type="expression" dxfId="215" priority="120" stopIfTrue="1">
      <formula>MOD(ROW(),2)=1</formula>
    </cfRule>
  </conditionalFormatting>
  <conditionalFormatting sqref="AF62:AF64">
    <cfRule type="expression" dxfId="214" priority="119" stopIfTrue="1">
      <formula>MOD(ROW(),2)=1</formula>
    </cfRule>
  </conditionalFormatting>
  <conditionalFormatting sqref="AF11:AG11">
    <cfRule type="expression" dxfId="213" priority="118" stopIfTrue="1">
      <formula>MOD(ROW(),2)=1</formula>
    </cfRule>
  </conditionalFormatting>
  <conditionalFormatting sqref="AF11:AG11">
    <cfRule type="expression" dxfId="212" priority="117" stopIfTrue="1">
      <formula>MOD(ROW(),2)=1</formula>
    </cfRule>
  </conditionalFormatting>
  <conditionalFormatting sqref="AF12:AG12">
    <cfRule type="expression" dxfId="211" priority="116" stopIfTrue="1">
      <formula>MOD(ROW(),2)=1</formula>
    </cfRule>
  </conditionalFormatting>
  <conditionalFormatting sqref="AF12:AG12">
    <cfRule type="expression" dxfId="210" priority="115" stopIfTrue="1">
      <formula>MOD(ROW(),2)=1</formula>
    </cfRule>
  </conditionalFormatting>
  <conditionalFormatting sqref="AF32:AF34">
    <cfRule type="expression" dxfId="209" priority="114" stopIfTrue="1">
      <formula>MOD(ROW(),2)=1</formula>
    </cfRule>
  </conditionalFormatting>
  <conditionalFormatting sqref="AF32:AF34">
    <cfRule type="expression" dxfId="208" priority="113" stopIfTrue="1">
      <formula>MOD(ROW(),2)=1</formula>
    </cfRule>
  </conditionalFormatting>
  <conditionalFormatting sqref="AF46:AG46">
    <cfRule type="expression" dxfId="207" priority="112" stopIfTrue="1">
      <formula>MOD(ROW(),2)=1</formula>
    </cfRule>
  </conditionalFormatting>
  <conditionalFormatting sqref="AF22:AG23">
    <cfRule type="expression" dxfId="206" priority="111" stopIfTrue="1">
      <formula>MOD(ROW(),2)=1</formula>
    </cfRule>
  </conditionalFormatting>
  <conditionalFormatting sqref="AF22:AG23">
    <cfRule type="expression" dxfId="205" priority="110" stopIfTrue="1">
      <formula>MOD(ROW(),2)=1</formula>
    </cfRule>
  </conditionalFormatting>
  <conditionalFormatting sqref="AF17:AG17">
    <cfRule type="expression" dxfId="204" priority="109" stopIfTrue="1">
      <formula>MOD(ROW(),2)=1</formula>
    </cfRule>
  </conditionalFormatting>
  <conditionalFormatting sqref="AF17:AG17">
    <cfRule type="expression" dxfId="203" priority="108" stopIfTrue="1">
      <formula>MOD(ROW(),2)=1</formula>
    </cfRule>
  </conditionalFormatting>
  <conditionalFormatting sqref="AF33:AG34">
    <cfRule type="expression" dxfId="202" priority="107" stopIfTrue="1">
      <formula>MOD(ROW(),2)=1</formula>
    </cfRule>
  </conditionalFormatting>
  <conditionalFormatting sqref="AF33:AG34">
    <cfRule type="expression" dxfId="201" priority="106" stopIfTrue="1">
      <formula>MOD(ROW(),2)=1</formula>
    </cfRule>
  </conditionalFormatting>
  <conditionalFormatting sqref="AF70:AG70">
    <cfRule type="expression" dxfId="200" priority="105" stopIfTrue="1">
      <formula>MOD(ROW(),2)=1</formula>
    </cfRule>
  </conditionalFormatting>
  <conditionalFormatting sqref="AG47:AG69">
    <cfRule type="expression" dxfId="199" priority="104" stopIfTrue="1">
      <formula>MOD(ROW(),2)=1</formula>
    </cfRule>
  </conditionalFormatting>
  <conditionalFormatting sqref="AG7:AG10 AG13:AG16 AG35:AG45 AG18:AG21 AG24:AG31">
    <cfRule type="expression" dxfId="198" priority="103" stopIfTrue="1">
      <formula>MOD(ROW(),2)=1</formula>
    </cfRule>
  </conditionalFormatting>
  <conditionalFormatting sqref="AG7:AG9 AG47:AG56 AG35:AG40 AG24:AG30">
    <cfRule type="expression" dxfId="197" priority="102" stopIfTrue="1">
      <formula>MOD(ROW(),2)=1</formula>
    </cfRule>
  </conditionalFormatting>
  <conditionalFormatting sqref="AG41:AG43">
    <cfRule type="expression" dxfId="196" priority="101" stopIfTrue="1">
      <formula>MOD(ROW(),2)=1</formula>
    </cfRule>
  </conditionalFormatting>
  <conditionalFormatting sqref="AG62:AG64">
    <cfRule type="expression" dxfId="195" priority="100" stopIfTrue="1">
      <formula>MOD(ROW(),2)=1</formula>
    </cfRule>
  </conditionalFormatting>
  <conditionalFormatting sqref="AG32:AG34">
    <cfRule type="expression" dxfId="194" priority="99" stopIfTrue="1">
      <formula>MOD(ROW(),2)=1</formula>
    </cfRule>
  </conditionalFormatting>
  <conditionalFormatting sqref="AG32:AG34">
    <cfRule type="expression" dxfId="193" priority="98" stopIfTrue="1">
      <formula>MOD(ROW(),2)=1</formula>
    </cfRule>
  </conditionalFormatting>
  <conditionalFormatting sqref="AF24">
    <cfRule type="expression" dxfId="192" priority="97" stopIfTrue="1">
      <formula>MOD(ROW(),2)=1</formula>
    </cfRule>
  </conditionalFormatting>
  <conditionalFormatting sqref="AF24">
    <cfRule type="expression" dxfId="191" priority="96" stopIfTrue="1">
      <formula>MOD(ROW(),2)=1</formula>
    </cfRule>
  </conditionalFormatting>
  <conditionalFormatting sqref="AH10:AI10 AH13:AI16 AH18:AI21">
    <cfRule type="expression" dxfId="190" priority="95" stopIfTrue="1">
      <formula>MOD(ROW(),2)=1</formula>
    </cfRule>
  </conditionalFormatting>
  <conditionalFormatting sqref="AH53:AI53">
    <cfRule type="expression" dxfId="189" priority="94" stopIfTrue="1">
      <formula>MOD(ROW(),2)=1</formula>
    </cfRule>
  </conditionalFormatting>
  <conditionalFormatting sqref="AH31:AI31">
    <cfRule type="expression" dxfId="188" priority="93" stopIfTrue="1">
      <formula>MOD(ROW(),2)=1</formula>
    </cfRule>
  </conditionalFormatting>
  <conditionalFormatting sqref="AH11:AI11">
    <cfRule type="expression" dxfId="187" priority="92" stopIfTrue="1">
      <formula>MOD(ROW(),2)=1</formula>
    </cfRule>
  </conditionalFormatting>
  <conditionalFormatting sqref="AH11:AI11">
    <cfRule type="expression" dxfId="186" priority="91" stopIfTrue="1">
      <formula>MOD(ROW(),2)=1</formula>
    </cfRule>
  </conditionalFormatting>
  <conditionalFormatting sqref="AH12:AI12">
    <cfRule type="expression" dxfId="185" priority="90" stopIfTrue="1">
      <formula>MOD(ROW(),2)=1</formula>
    </cfRule>
  </conditionalFormatting>
  <conditionalFormatting sqref="AH12:AI12">
    <cfRule type="expression" dxfId="184" priority="89" stopIfTrue="1">
      <formula>MOD(ROW(),2)=1</formula>
    </cfRule>
  </conditionalFormatting>
  <conditionalFormatting sqref="AH46:AI46">
    <cfRule type="expression" dxfId="183" priority="88" stopIfTrue="1">
      <formula>MOD(ROW(),2)=1</formula>
    </cfRule>
  </conditionalFormatting>
  <conditionalFormatting sqref="AH22:AH23">
    <cfRule type="expression" dxfId="182" priority="87" stopIfTrue="1">
      <formula>MOD(ROW(),2)=1</formula>
    </cfRule>
  </conditionalFormatting>
  <conditionalFormatting sqref="AH22:AH23">
    <cfRule type="expression" dxfId="181" priority="86" stopIfTrue="1">
      <formula>MOD(ROW(),2)=1</formula>
    </cfRule>
  </conditionalFormatting>
  <conditionalFormatting sqref="AH17">
    <cfRule type="expression" dxfId="180" priority="85" stopIfTrue="1">
      <formula>MOD(ROW(),2)=1</formula>
    </cfRule>
  </conditionalFormatting>
  <conditionalFormatting sqref="AH17">
    <cfRule type="expression" dxfId="179" priority="84" stopIfTrue="1">
      <formula>MOD(ROW(),2)=1</formula>
    </cfRule>
  </conditionalFormatting>
  <conditionalFormatting sqref="AH33:AH34">
    <cfRule type="expression" dxfId="178" priority="83" stopIfTrue="1">
      <formula>MOD(ROW(),2)=1</formula>
    </cfRule>
  </conditionalFormatting>
  <conditionalFormatting sqref="AH33:AH34">
    <cfRule type="expression" dxfId="177" priority="82" stopIfTrue="1">
      <formula>MOD(ROW(),2)=1</formula>
    </cfRule>
  </conditionalFormatting>
  <conditionalFormatting sqref="AH70:AI70">
    <cfRule type="expression" dxfId="176" priority="81" stopIfTrue="1">
      <formula>MOD(ROW(),2)=1</formula>
    </cfRule>
  </conditionalFormatting>
  <conditionalFormatting sqref="AH69:AI69 AH52:AI63 AH47:AI49">
    <cfRule type="expression" dxfId="175" priority="80" stopIfTrue="1">
      <formula>MOD(ROW(),2)=1</formula>
    </cfRule>
  </conditionalFormatting>
  <conditionalFormatting sqref="AH7:AH10 AH13:AH16 AH35:AH45 AH18:AH21 AH24:AH31 AI36 AI24">
    <cfRule type="expression" dxfId="174" priority="79" stopIfTrue="1">
      <formula>MOD(ROW(),2)=1</formula>
    </cfRule>
  </conditionalFormatting>
  <conditionalFormatting sqref="AH7:AH9 AH47:AH49 AH35:AH40 AH24:AH30 AH52:AH56 AI48:AI49 AI36 AI24">
    <cfRule type="expression" dxfId="173" priority="78" stopIfTrue="1">
      <formula>MOD(ROW(),2)=1</formula>
    </cfRule>
  </conditionalFormatting>
  <conditionalFormatting sqref="AH41:AH43">
    <cfRule type="expression" dxfId="172" priority="77" stopIfTrue="1">
      <formula>MOD(ROW(),2)=1</formula>
    </cfRule>
  </conditionalFormatting>
  <conditionalFormatting sqref="AH62:AH63">
    <cfRule type="expression" dxfId="171" priority="76" stopIfTrue="1">
      <formula>MOD(ROW(),2)=1</formula>
    </cfRule>
  </conditionalFormatting>
  <conditionalFormatting sqref="AH32:AH34">
    <cfRule type="expression" dxfId="170" priority="75" stopIfTrue="1">
      <formula>MOD(ROW(),2)=1</formula>
    </cfRule>
  </conditionalFormatting>
  <conditionalFormatting sqref="AH32:AH34">
    <cfRule type="expression" dxfId="169" priority="74" stopIfTrue="1">
      <formula>MOD(ROW(),2)=1</formula>
    </cfRule>
  </conditionalFormatting>
  <conditionalFormatting sqref="AH50:AH51 AI51">
    <cfRule type="expression" dxfId="168" priority="67" stopIfTrue="1">
      <formula>MOD(ROW(),2)=1</formula>
    </cfRule>
  </conditionalFormatting>
  <conditionalFormatting sqref="AH50:AH51 AI51">
    <cfRule type="expression" dxfId="167" priority="66" stopIfTrue="1">
      <formula>MOD(ROW(),2)=1</formula>
    </cfRule>
  </conditionalFormatting>
  <conditionalFormatting sqref="AH64:AH68 AI68">
    <cfRule type="expression" dxfId="166" priority="65" stopIfTrue="1">
      <formula>MOD(ROW(),2)=1</formula>
    </cfRule>
  </conditionalFormatting>
  <conditionalFormatting sqref="AH64:AI64">
    <cfRule type="expression" dxfId="165" priority="64" stopIfTrue="1">
      <formula>MOD(ROW(),2)=1</formula>
    </cfRule>
  </conditionalFormatting>
  <conditionalFormatting sqref="AI22">
    <cfRule type="expression" dxfId="164" priority="63" stopIfTrue="1">
      <formula>MOD(ROW(),2)=1</formula>
    </cfRule>
  </conditionalFormatting>
  <conditionalFormatting sqref="AI22">
    <cfRule type="expression" dxfId="163" priority="62" stopIfTrue="1">
      <formula>MOD(ROW(),2)=1</formula>
    </cfRule>
  </conditionalFormatting>
  <conditionalFormatting sqref="AI33">
    <cfRule type="expression" dxfId="162" priority="61" stopIfTrue="1">
      <formula>MOD(ROW(),2)=1</formula>
    </cfRule>
  </conditionalFormatting>
  <conditionalFormatting sqref="AI33">
    <cfRule type="expression" dxfId="161" priority="60" stopIfTrue="1">
      <formula>MOD(ROW(),2)=1</formula>
    </cfRule>
  </conditionalFormatting>
  <conditionalFormatting sqref="AI7:AI10 AI13:AI16 AI35 AI18:AI21 AI25:AI31 AI37:AI40 AI44:AI45">
    <cfRule type="expression" dxfId="160" priority="59" stopIfTrue="1">
      <formula>MOD(ROW(),2)=1</formula>
    </cfRule>
  </conditionalFormatting>
  <conditionalFormatting sqref="AI7:AI9 AI47:AI49 AI35 AI25:AI30 AI52:AI56 AI37:AI40">
    <cfRule type="expression" dxfId="159" priority="58" stopIfTrue="1">
      <formula>MOD(ROW(),2)=1</formula>
    </cfRule>
  </conditionalFormatting>
  <conditionalFormatting sqref="AI62:AI63">
    <cfRule type="expression" dxfId="158" priority="56" stopIfTrue="1">
      <formula>MOD(ROW(),2)=1</formula>
    </cfRule>
  </conditionalFormatting>
  <conditionalFormatting sqref="AI32:AI33">
    <cfRule type="expression" dxfId="157" priority="55" stopIfTrue="1">
      <formula>MOD(ROW(),2)=1</formula>
    </cfRule>
  </conditionalFormatting>
  <conditionalFormatting sqref="AI32:AI33">
    <cfRule type="expression" dxfId="156" priority="54" stopIfTrue="1">
      <formula>MOD(ROW(),2)=1</formula>
    </cfRule>
  </conditionalFormatting>
  <conditionalFormatting sqref="AI50">
    <cfRule type="expression" dxfId="155" priority="53" stopIfTrue="1">
      <formula>MOD(ROW(),2)=1</formula>
    </cfRule>
  </conditionalFormatting>
  <conditionalFormatting sqref="AI50">
    <cfRule type="expression" dxfId="154" priority="52" stopIfTrue="1">
      <formula>MOD(ROW(),2)=1</formula>
    </cfRule>
  </conditionalFormatting>
  <conditionalFormatting sqref="AI64">
    <cfRule type="expression" dxfId="153" priority="51" stopIfTrue="1">
      <formula>MOD(ROW(),2)=1</formula>
    </cfRule>
  </conditionalFormatting>
  <conditionalFormatting sqref="AJ23">
    <cfRule type="expression" dxfId="152" priority="35" stopIfTrue="1">
      <formula>MOD(ROW(),2)=1</formula>
    </cfRule>
  </conditionalFormatting>
  <conditionalFormatting sqref="AJ52 AJ44:AJ45 AJ57:AJ61 AJ65:AJ69">
    <cfRule type="expression" dxfId="151" priority="34" stopIfTrue="1">
      <formula>MOD(ROW(),2)=1</formula>
    </cfRule>
  </conditionalFormatting>
  <conditionalFormatting sqref="AJ7:AJ9 AJ47:AJ54 AJ35:AJ40 AJ24:AJ30">
    <cfRule type="expression" dxfId="150" priority="33" stopIfTrue="1">
      <formula>MOD(ROW(),2)=1</formula>
    </cfRule>
  </conditionalFormatting>
  <conditionalFormatting sqref="AJ10 AJ13:AJ16 AJ18:AJ21">
    <cfRule type="expression" dxfId="149" priority="32" stopIfTrue="1">
      <formula>MOD(ROW(),2)=1</formula>
    </cfRule>
  </conditionalFormatting>
  <conditionalFormatting sqref="AJ41:AJ43">
    <cfRule type="expression" dxfId="148" priority="31" stopIfTrue="1">
      <formula>MOD(ROW(),2)=1</formula>
    </cfRule>
  </conditionalFormatting>
  <conditionalFormatting sqref="AJ31">
    <cfRule type="expression" dxfId="147" priority="30" stopIfTrue="1">
      <formula>MOD(ROW(),2)=1</formula>
    </cfRule>
  </conditionalFormatting>
  <conditionalFormatting sqref="AJ62:AJ64">
    <cfRule type="expression" dxfId="146" priority="29" stopIfTrue="1">
      <formula>MOD(ROW(),2)=1</formula>
    </cfRule>
  </conditionalFormatting>
  <conditionalFormatting sqref="AJ11">
    <cfRule type="expression" dxfId="145" priority="28" stopIfTrue="1">
      <formula>MOD(ROW(),2)=1</formula>
    </cfRule>
  </conditionalFormatting>
  <conditionalFormatting sqref="AJ12">
    <cfRule type="expression" dxfId="144" priority="27" stopIfTrue="1">
      <formula>MOD(ROW(),2)=1</formula>
    </cfRule>
  </conditionalFormatting>
  <conditionalFormatting sqref="AJ32:AJ34">
    <cfRule type="expression" dxfId="143" priority="26" stopIfTrue="1">
      <formula>MOD(ROW(),2)=1</formula>
    </cfRule>
  </conditionalFormatting>
  <conditionalFormatting sqref="AJ46">
    <cfRule type="expression" dxfId="142" priority="25" stopIfTrue="1">
      <formula>MOD(ROW(),2)=1</formula>
    </cfRule>
  </conditionalFormatting>
  <conditionalFormatting sqref="AJ22:AJ23">
    <cfRule type="expression" dxfId="141" priority="24" stopIfTrue="1">
      <formula>MOD(ROW(),2)=1</formula>
    </cfRule>
  </conditionalFormatting>
  <conditionalFormatting sqref="AJ17">
    <cfRule type="expression" dxfId="140" priority="23" stopIfTrue="1">
      <formula>MOD(ROW(),2)=1</formula>
    </cfRule>
  </conditionalFormatting>
  <conditionalFormatting sqref="AJ33:AJ34">
    <cfRule type="expression" dxfId="139" priority="22" stopIfTrue="1">
      <formula>MOD(ROW(),2)=1</formula>
    </cfRule>
  </conditionalFormatting>
  <conditionalFormatting sqref="AJ70">
    <cfRule type="expression" dxfId="138" priority="21" stopIfTrue="1">
      <formula>MOD(ROW(),2)=1</formula>
    </cfRule>
  </conditionalFormatting>
  <conditionalFormatting sqref="AI65:AI67">
    <cfRule type="expression" dxfId="137" priority="20" stopIfTrue="1">
      <formula>MOD(ROW(),2)=1</formula>
    </cfRule>
  </conditionalFormatting>
  <conditionalFormatting sqref="AI15">
    <cfRule type="expression" dxfId="136" priority="19" stopIfTrue="1">
      <formula>MOD(ROW(),2)=1</formula>
    </cfRule>
  </conditionalFormatting>
  <conditionalFormatting sqref="AI17">
    <cfRule type="expression" dxfId="135" priority="18" stopIfTrue="1">
      <formula>MOD(ROW(),2)=1</formula>
    </cfRule>
  </conditionalFormatting>
  <conditionalFormatting sqref="AI17">
    <cfRule type="expression" dxfId="134" priority="17" stopIfTrue="1">
      <formula>MOD(ROW(),2)=1</formula>
    </cfRule>
  </conditionalFormatting>
  <conditionalFormatting sqref="AI18">
    <cfRule type="expression" dxfId="133" priority="16" stopIfTrue="1">
      <formula>MOD(ROW(),2)=1</formula>
    </cfRule>
  </conditionalFormatting>
  <conditionalFormatting sqref="AI23">
    <cfRule type="expression" dxfId="132" priority="15" stopIfTrue="1">
      <formula>MOD(ROW(),2)=1</formula>
    </cfRule>
  </conditionalFormatting>
  <conditionalFormatting sqref="AI23">
    <cfRule type="expression" dxfId="131" priority="14" stopIfTrue="1">
      <formula>MOD(ROW(),2)=1</formula>
    </cfRule>
  </conditionalFormatting>
  <conditionalFormatting sqref="AI23">
    <cfRule type="expression" dxfId="130" priority="13" stopIfTrue="1">
      <formula>MOD(ROW(),2)=1</formula>
    </cfRule>
  </conditionalFormatting>
  <conditionalFormatting sqref="AI34">
    <cfRule type="expression" dxfId="129" priority="12" stopIfTrue="1">
      <formula>MOD(ROW(),2)=1</formula>
    </cfRule>
  </conditionalFormatting>
  <conditionalFormatting sqref="AI34">
    <cfRule type="expression" dxfId="128" priority="11" stopIfTrue="1">
      <formula>MOD(ROW(),2)=1</formula>
    </cfRule>
  </conditionalFormatting>
  <conditionalFormatting sqref="AI34">
    <cfRule type="expression" dxfId="127" priority="10" stopIfTrue="1">
      <formula>MOD(ROW(),2)=1</formula>
    </cfRule>
  </conditionalFormatting>
  <conditionalFormatting sqref="AI34">
    <cfRule type="expression" dxfId="126" priority="9" stopIfTrue="1">
      <formula>MOD(ROW(),2)=1</formula>
    </cfRule>
  </conditionalFormatting>
  <conditionalFormatting sqref="AI41:AI43">
    <cfRule type="expression" dxfId="125" priority="8" stopIfTrue="1">
      <formula>MOD(ROW(),2)=1</formula>
    </cfRule>
  </conditionalFormatting>
  <conditionalFormatting sqref="AI41:AI43">
    <cfRule type="expression" dxfId="124" priority="7" stopIfTrue="1">
      <formula>MOD(ROW(),2)=1</formula>
    </cfRule>
  </conditionalFormatting>
  <conditionalFormatting sqref="AI64">
    <cfRule type="expression" dxfId="123" priority="6" stopIfTrue="1">
      <formula>MOD(ROW(),2)=1</formula>
    </cfRule>
  </conditionalFormatting>
  <conditionalFormatting sqref="AD34">
    <cfRule type="expression" dxfId="122" priority="5" stopIfTrue="1">
      <formula>MOD(ROW(),2)=1</formula>
    </cfRule>
  </conditionalFormatting>
  <conditionalFormatting sqref="AC34">
    <cfRule type="expression" dxfId="121" priority="4" stopIfTrue="1">
      <formula>MOD(ROW(),2)=1</formula>
    </cfRule>
  </conditionalFormatting>
  <conditionalFormatting sqref="AB34">
    <cfRule type="expression" dxfId="120" priority="3" stopIfTrue="1">
      <formula>MOD(ROW(),2)=1</formula>
    </cfRule>
  </conditionalFormatting>
  <conditionalFormatting sqref="AA34">
    <cfRule type="expression" dxfId="119" priority="2" stopIfTrue="1">
      <formula>MOD(ROW(),2)=1</formula>
    </cfRule>
  </conditionalFormatting>
  <conditionalFormatting sqref="AJ55:AJ56">
    <cfRule type="expression" dxfId="118" priority="1" stopIfTrue="1">
      <formula>MOD(ROW(),2)=1</formula>
    </cfRule>
  </conditionalFormatting>
  <pageMargins left="0.7" right="0.7" top="0.75" bottom="0.75" header="0.3" footer="0.3"/>
  <pageSetup scale="56" orientation="landscape" horizontalDpi="1200" r:id="rId1"/>
  <ignoredErrors>
    <ignoredError sqref="F50 K50 P5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B241-F385-4253-9C6A-523EB7E8F1B3}">
  <sheetPr>
    <tabColor theme="9" tint="0.59999389629810485"/>
    <pageSetUpPr fitToPage="1"/>
  </sheetPr>
  <dimension ref="A1:AJ53"/>
  <sheetViews>
    <sheetView showGridLines="0" zoomScale="80" zoomScaleNormal="80" workbookViewId="0">
      <pane xSplit="1" ySplit="5" topLeftCell="M6" activePane="bottomRight" state="frozen"/>
      <selection activeCell="AB28" sqref="AB28"/>
      <selection pane="topRight" activeCell="AB28" sqref="AB28"/>
      <selection pane="bottomLeft" activeCell="AB28" sqref="AB28"/>
      <selection pane="bottomRight" activeCell="AB28" sqref="AB28"/>
    </sheetView>
  </sheetViews>
  <sheetFormatPr defaultColWidth="9.28515625" defaultRowHeight="15" outlineLevelCol="1" x14ac:dyDescent="0.25"/>
  <cols>
    <col min="1" max="1" width="60.42578125" style="58" customWidth="1"/>
    <col min="2" max="5" width="13.7109375" style="58" hidden="1" customWidth="1" outlineLevel="1"/>
    <col min="6" max="6" width="13.7109375" style="60" hidden="1" customWidth="1" outlineLevel="1"/>
    <col min="7" max="10" width="13.7109375" style="58" hidden="1" customWidth="1" outlineLevel="1"/>
    <col min="11" max="11" width="13.7109375" style="60" hidden="1" customWidth="1" outlineLevel="1"/>
    <col min="12" max="15" width="13.7109375" style="58" hidden="1" customWidth="1" outlineLevel="1"/>
    <col min="16" max="16" width="13.7109375" style="60" hidden="1" customWidth="1" outlineLevel="1"/>
    <col min="17" max="20" width="13.7109375" style="58" hidden="1" customWidth="1" outlineLevel="1"/>
    <col min="21" max="21" width="13.7109375" style="60" hidden="1" customWidth="1" outlineLevel="1"/>
    <col min="22" max="25" width="13.7109375" style="58" hidden="1" customWidth="1" outlineLevel="1"/>
    <col min="26" max="26" width="13.7109375" style="60" hidden="1" customWidth="1" outlineLevel="1"/>
    <col min="27" max="27" width="13.7109375" style="58" customWidth="1" collapsed="1"/>
    <col min="28" max="30" width="13.7109375" style="58" customWidth="1"/>
    <col min="31" max="31" width="13.7109375" style="60" customWidth="1"/>
    <col min="32" max="35" width="13.7109375" style="58" customWidth="1"/>
    <col min="36" max="36" width="13.7109375" style="60" customWidth="1"/>
    <col min="37" max="16384" width="9.28515625" style="58"/>
  </cols>
  <sheetData>
    <row r="1" spans="1:36" x14ac:dyDescent="0.25">
      <c r="A1" s="31" t="s">
        <v>73</v>
      </c>
      <c r="P1" s="60" t="s">
        <v>98</v>
      </c>
      <c r="U1" s="60" t="s">
        <v>98</v>
      </c>
      <c r="Z1" s="60" t="s">
        <v>98</v>
      </c>
      <c r="AE1" s="60" t="s">
        <v>98</v>
      </c>
      <c r="AJ1" s="60" t="s">
        <v>98</v>
      </c>
    </row>
    <row r="2" spans="1:36" x14ac:dyDescent="0.25">
      <c r="A2" s="31" t="s">
        <v>104</v>
      </c>
    </row>
    <row r="3" spans="1:36" x14ac:dyDescent="0.25">
      <c r="A3" s="17" t="s">
        <v>132</v>
      </c>
    </row>
    <row r="4" spans="1:36" x14ac:dyDescent="0.25">
      <c r="A4" s="17" t="s">
        <v>130</v>
      </c>
    </row>
    <row r="5" spans="1:36" s="52" customFormat="1" ht="12.75" x14ac:dyDescent="0.2">
      <c r="A5" s="51"/>
      <c r="B5" s="45" t="s">
        <v>61</v>
      </c>
      <c r="C5" s="45" t="s">
        <v>62</v>
      </c>
      <c r="D5" s="45" t="s">
        <v>63</v>
      </c>
      <c r="E5" s="45" t="s">
        <v>64</v>
      </c>
      <c r="F5" s="39">
        <v>2016</v>
      </c>
      <c r="G5" s="45" t="s">
        <v>72</v>
      </c>
      <c r="H5" s="45" t="s">
        <v>71</v>
      </c>
      <c r="I5" s="45" t="s">
        <v>70</v>
      </c>
      <c r="J5" s="45" t="s">
        <v>69</v>
      </c>
      <c r="K5" s="39">
        <v>2017</v>
      </c>
      <c r="L5" s="45" t="s">
        <v>68</v>
      </c>
      <c r="M5" s="45" t="s">
        <v>67</v>
      </c>
      <c r="N5" s="45" t="s">
        <v>66</v>
      </c>
      <c r="O5" s="45" t="s">
        <v>65</v>
      </c>
      <c r="P5" s="39">
        <v>2018</v>
      </c>
      <c r="Q5" s="45" t="s">
        <v>138</v>
      </c>
      <c r="R5" s="45" t="s">
        <v>150</v>
      </c>
      <c r="S5" s="45" t="s">
        <v>153</v>
      </c>
      <c r="T5" s="45" t="s">
        <v>154</v>
      </c>
      <c r="U5" s="39">
        <v>2019</v>
      </c>
      <c r="V5" s="45" t="s">
        <v>155</v>
      </c>
      <c r="W5" s="45" t="s">
        <v>158</v>
      </c>
      <c r="X5" s="45" t="s">
        <v>159</v>
      </c>
      <c r="Y5" s="45" t="s">
        <v>162</v>
      </c>
      <c r="Z5" s="39">
        <v>2020</v>
      </c>
      <c r="AA5" s="45" t="s">
        <v>176</v>
      </c>
      <c r="AB5" s="45" t="s">
        <v>179</v>
      </c>
      <c r="AC5" s="45" t="s">
        <v>180</v>
      </c>
      <c r="AD5" s="45" t="s">
        <v>182</v>
      </c>
      <c r="AE5" s="39">
        <v>2021</v>
      </c>
      <c r="AF5" s="45" t="s">
        <v>186</v>
      </c>
      <c r="AG5" s="45" t="s">
        <v>193</v>
      </c>
      <c r="AH5" s="45" t="s">
        <v>199</v>
      </c>
      <c r="AI5" s="45" t="s">
        <v>205</v>
      </c>
      <c r="AJ5" s="39">
        <v>2022</v>
      </c>
    </row>
    <row r="6" spans="1:36" s="2" customFormat="1" ht="12.75" x14ac:dyDescent="0.2">
      <c r="A6" s="53" t="s">
        <v>74</v>
      </c>
      <c r="B6" s="3"/>
      <c r="C6" s="3"/>
      <c r="D6" s="3"/>
      <c r="E6" s="3"/>
      <c r="F6" s="20"/>
      <c r="G6" s="3"/>
      <c r="H6" s="3"/>
      <c r="I6" s="3"/>
      <c r="J6" s="3"/>
      <c r="K6" s="20"/>
      <c r="L6" s="3"/>
      <c r="M6" s="3"/>
      <c r="N6" s="3"/>
      <c r="O6" s="3"/>
      <c r="P6" s="20"/>
      <c r="Q6" s="3"/>
      <c r="R6" s="3"/>
      <c r="S6" s="3"/>
      <c r="T6" s="3"/>
      <c r="U6" s="20"/>
      <c r="V6" s="3"/>
      <c r="W6" s="3"/>
      <c r="X6" s="3"/>
      <c r="Y6" s="3"/>
      <c r="Z6" s="20"/>
      <c r="AA6" s="3"/>
      <c r="AB6" s="3"/>
      <c r="AC6" s="3"/>
      <c r="AD6" s="3"/>
      <c r="AE6" s="20"/>
      <c r="AF6" s="3"/>
      <c r="AG6" s="3"/>
      <c r="AH6" s="3"/>
      <c r="AI6" s="3"/>
      <c r="AJ6" s="20"/>
    </row>
    <row r="7" spans="1:36" s="2" customFormat="1" ht="12.75" x14ac:dyDescent="0.2">
      <c r="A7" s="4" t="s">
        <v>151</v>
      </c>
      <c r="B7" s="11">
        <v>48710</v>
      </c>
      <c r="C7" s="11">
        <v>54826</v>
      </c>
      <c r="D7" s="11">
        <v>85822</v>
      </c>
      <c r="E7" s="11">
        <v>66805</v>
      </c>
      <c r="F7" s="26">
        <f>SUM(B7:E7)</f>
        <v>256163</v>
      </c>
      <c r="G7" s="11">
        <v>51768</v>
      </c>
      <c r="H7" s="11">
        <v>55924</v>
      </c>
      <c r="I7" s="11">
        <v>94705</v>
      </c>
      <c r="J7" s="11">
        <v>75802</v>
      </c>
      <c r="K7" s="26">
        <f>SUM(G7:J7)</f>
        <v>278199</v>
      </c>
      <c r="L7" s="11">
        <v>76506</v>
      </c>
      <c r="M7" s="11">
        <v>92511</v>
      </c>
      <c r="N7" s="11">
        <v>111421</v>
      </c>
      <c r="O7" s="11">
        <v>74512</v>
      </c>
      <c r="P7" s="26">
        <f>SUM(L7:O7)</f>
        <v>354950</v>
      </c>
      <c r="Q7" s="11">
        <v>68158</v>
      </c>
      <c r="R7" s="11">
        <v>66881</v>
      </c>
      <c r="S7" s="11">
        <v>98809</v>
      </c>
      <c r="T7" s="11">
        <v>88845</v>
      </c>
      <c r="U7" s="26">
        <f>SUM(Q7:T7)</f>
        <v>322693</v>
      </c>
      <c r="V7" s="11">
        <v>82425</v>
      </c>
      <c r="W7" s="11">
        <v>67345</v>
      </c>
      <c r="X7" s="11">
        <v>116985</v>
      </c>
      <c r="Y7" s="11">
        <v>109764</v>
      </c>
      <c r="Z7" s="26">
        <f>SUM(V7:Y7)</f>
        <v>376519</v>
      </c>
      <c r="AA7" s="11">
        <v>111916</v>
      </c>
      <c r="AB7" s="11">
        <v>121216</v>
      </c>
      <c r="AC7" s="11">
        <v>129543</v>
      </c>
      <c r="AD7" s="11">
        <v>86772</v>
      </c>
      <c r="AE7" s="26">
        <f>SUM(AA7:AD7)</f>
        <v>449447</v>
      </c>
      <c r="AF7" s="11">
        <v>123657</v>
      </c>
      <c r="AG7" s="11">
        <v>105486</v>
      </c>
      <c r="AH7" s="11">
        <v>134576</v>
      </c>
      <c r="AI7" s="11">
        <v>121871</v>
      </c>
      <c r="AJ7" s="26">
        <f>SUM(AF7:AI7)</f>
        <v>485590</v>
      </c>
    </row>
    <row r="8" spans="1:36" s="2" customFormat="1" ht="12.75" x14ac:dyDescent="0.2">
      <c r="A8" s="4" t="s">
        <v>75</v>
      </c>
      <c r="B8" s="5">
        <v>83238</v>
      </c>
      <c r="C8" s="5">
        <v>90924</v>
      </c>
      <c r="D8" s="5">
        <v>97620</v>
      </c>
      <c r="E8" s="5">
        <v>95644</v>
      </c>
      <c r="F8" s="21">
        <f t="shared" ref="F8:F9" si="0">SUM(B8:E8)</f>
        <v>367426</v>
      </c>
      <c r="G8" s="5">
        <v>95592</v>
      </c>
      <c r="H8" s="5">
        <v>114529</v>
      </c>
      <c r="I8" s="5">
        <v>116487</v>
      </c>
      <c r="J8" s="5">
        <v>114549</v>
      </c>
      <c r="K8" s="21">
        <f t="shared" ref="K8:K9" si="1">SUM(G8:J8)</f>
        <v>441157</v>
      </c>
      <c r="L8" s="5">
        <v>139815</v>
      </c>
      <c r="M8" s="5">
        <v>193585</v>
      </c>
      <c r="N8" s="5">
        <v>199025</v>
      </c>
      <c r="O8" s="5">
        <v>148506</v>
      </c>
      <c r="P8" s="21">
        <f t="shared" ref="P8:P9" si="2">SUM(L8:O8)</f>
        <v>680931</v>
      </c>
      <c r="Q8" s="5">
        <v>132306</v>
      </c>
      <c r="R8" s="5">
        <v>138030</v>
      </c>
      <c r="S8" s="5">
        <v>143643</v>
      </c>
      <c r="T8" s="5">
        <v>126429</v>
      </c>
      <c r="U8" s="21">
        <f t="shared" ref="U8:U9" si="3">SUM(Q8:T8)</f>
        <v>540408</v>
      </c>
      <c r="V8" s="5">
        <v>145000</v>
      </c>
      <c r="W8" s="5">
        <v>126216</v>
      </c>
      <c r="X8" s="5">
        <v>218291</v>
      </c>
      <c r="Y8" s="5">
        <v>208898</v>
      </c>
      <c r="Z8" s="21">
        <f t="shared" ref="Z8:Z9" si="4">SUM(V8:Y8)</f>
        <v>698405</v>
      </c>
      <c r="AA8" s="5">
        <v>269296</v>
      </c>
      <c r="AB8" s="5">
        <v>357673</v>
      </c>
      <c r="AC8" s="5">
        <v>187760</v>
      </c>
      <c r="AD8" s="5">
        <v>174158</v>
      </c>
      <c r="AE8" s="21">
        <f>SUM(AA8:AD8)+1</f>
        <v>988888</v>
      </c>
      <c r="AF8" s="5">
        <v>295742</v>
      </c>
      <c r="AG8" s="5">
        <v>266633</v>
      </c>
      <c r="AH8" s="5">
        <v>193431</v>
      </c>
      <c r="AI8" s="5">
        <v>156805</v>
      </c>
      <c r="AJ8" s="21">
        <f>SUM(AF8:AI8)+1</f>
        <v>912612</v>
      </c>
    </row>
    <row r="9" spans="1:36" s="2" customFormat="1" ht="12.75" x14ac:dyDescent="0.2">
      <c r="A9" s="4" t="s">
        <v>76</v>
      </c>
      <c r="B9" s="6">
        <v>5566</v>
      </c>
      <c r="C9" s="6">
        <v>9954</v>
      </c>
      <c r="D9" s="6">
        <v>8426</v>
      </c>
      <c r="E9" s="6">
        <v>8658</v>
      </c>
      <c r="F9" s="22">
        <f t="shared" si="0"/>
        <v>32604</v>
      </c>
      <c r="G9" s="6">
        <v>14504</v>
      </c>
      <c r="H9" s="6">
        <v>8136</v>
      </c>
      <c r="I9" s="6">
        <v>3282</v>
      </c>
      <c r="J9" s="6">
        <v>4733</v>
      </c>
      <c r="K9" s="22">
        <f t="shared" si="1"/>
        <v>30655</v>
      </c>
      <c r="L9" s="6">
        <v>10555</v>
      </c>
      <c r="M9" s="6">
        <v>16431</v>
      </c>
      <c r="N9" s="6">
        <v>11233</v>
      </c>
      <c r="O9" s="6">
        <v>16347</v>
      </c>
      <c r="P9" s="22">
        <f t="shared" si="2"/>
        <v>54566</v>
      </c>
      <c r="Q9" s="6">
        <v>6164</v>
      </c>
      <c r="R9" s="6">
        <v>36432</v>
      </c>
      <c r="S9" s="6">
        <v>18863</v>
      </c>
      <c r="T9" s="6">
        <v>17413</v>
      </c>
      <c r="U9" s="22">
        <f t="shared" si="3"/>
        <v>78872</v>
      </c>
      <c r="V9" s="6">
        <v>10969</v>
      </c>
      <c r="W9" s="6">
        <v>13105</v>
      </c>
      <c r="X9" s="6">
        <v>18151</v>
      </c>
      <c r="Y9" s="6">
        <v>62191</v>
      </c>
      <c r="Z9" s="22">
        <f t="shared" si="4"/>
        <v>104416</v>
      </c>
      <c r="AA9" s="6">
        <v>20313</v>
      </c>
      <c r="AB9" s="6">
        <v>15998</v>
      </c>
      <c r="AC9" s="6">
        <v>13497</v>
      </c>
      <c r="AD9" s="6">
        <v>14005</v>
      </c>
      <c r="AE9" s="22">
        <f t="shared" ref="AE9" si="5">SUM(AA9:AD9)</f>
        <v>63813</v>
      </c>
      <c r="AF9" s="6">
        <v>34065</v>
      </c>
      <c r="AG9" s="6">
        <v>26736</v>
      </c>
      <c r="AH9" s="6">
        <v>19008</v>
      </c>
      <c r="AI9" s="6">
        <v>11682</v>
      </c>
      <c r="AJ9" s="22">
        <f t="shared" ref="AJ9" si="6">SUM(AF9:AI9)</f>
        <v>91491</v>
      </c>
    </row>
    <row r="10" spans="1:36" s="2" customFormat="1" ht="12.75" x14ac:dyDescent="0.2">
      <c r="A10" s="54"/>
      <c r="B10" s="9">
        <f>SUM(B7:B9)</f>
        <v>137514</v>
      </c>
      <c r="C10" s="9">
        <f>SUM(C7:C9)</f>
        <v>155704</v>
      </c>
      <c r="D10" s="9">
        <f>SUM(D7:D9)</f>
        <v>191868</v>
      </c>
      <c r="E10" s="9">
        <f>SUM(E7:E9)</f>
        <v>171107</v>
      </c>
      <c r="F10" s="24">
        <f>SUM(F7:F9)</f>
        <v>656193</v>
      </c>
      <c r="G10" s="9">
        <f t="shared" ref="G10" si="7">SUM(G7:G9)</f>
        <v>161864</v>
      </c>
      <c r="H10" s="9">
        <f t="shared" ref="H10" si="8">SUM(H7:H9)</f>
        <v>178589</v>
      </c>
      <c r="I10" s="9">
        <f t="shared" ref="I10" si="9">SUM(I7:I9)</f>
        <v>214474</v>
      </c>
      <c r="J10" s="9">
        <f t="shared" ref="J10:P10" si="10">SUM(J7:J9)</f>
        <v>195084</v>
      </c>
      <c r="K10" s="24">
        <f t="shared" si="10"/>
        <v>750011</v>
      </c>
      <c r="L10" s="9">
        <f t="shared" si="10"/>
        <v>226876</v>
      </c>
      <c r="M10" s="9">
        <f t="shared" si="10"/>
        <v>302527</v>
      </c>
      <c r="N10" s="9">
        <f t="shared" si="10"/>
        <v>321679</v>
      </c>
      <c r="O10" s="9">
        <f t="shared" si="10"/>
        <v>239365</v>
      </c>
      <c r="P10" s="24">
        <f t="shared" si="10"/>
        <v>1090447</v>
      </c>
      <c r="Q10" s="9">
        <f t="shared" ref="Q10:R10" si="11">SUM(Q7:Q9)</f>
        <v>206628</v>
      </c>
      <c r="R10" s="9">
        <f t="shared" si="11"/>
        <v>241343</v>
      </c>
      <c r="S10" s="9">
        <f t="shared" ref="S10:T10" si="12">SUM(S7:S9)</f>
        <v>261315</v>
      </c>
      <c r="T10" s="9">
        <f t="shared" si="12"/>
        <v>232687</v>
      </c>
      <c r="U10" s="9">
        <f>SUM(U7:U9)</f>
        <v>941973</v>
      </c>
      <c r="V10" s="9">
        <f t="shared" ref="V10:W10" si="13">SUM(V7:V9)</f>
        <v>238394</v>
      </c>
      <c r="W10" s="9">
        <f t="shared" si="13"/>
        <v>206666</v>
      </c>
      <c r="X10" s="9">
        <f t="shared" ref="X10:Y10" si="14">SUM(X7:X9)</f>
        <v>353427</v>
      </c>
      <c r="Y10" s="9">
        <f t="shared" si="14"/>
        <v>380853</v>
      </c>
      <c r="Z10" s="9">
        <f>SUM(Z7:Z9)</f>
        <v>1179340</v>
      </c>
      <c r="AA10" s="9">
        <f t="shared" ref="AA10:AB10" si="15">SUM(AA7:AA9)</f>
        <v>401525</v>
      </c>
      <c r="AB10" s="9">
        <f t="shared" si="15"/>
        <v>494887</v>
      </c>
      <c r="AC10" s="9">
        <f t="shared" ref="AC10:AD10" si="16">SUM(AC7:AC9)</f>
        <v>330800</v>
      </c>
      <c r="AD10" s="9">
        <f t="shared" si="16"/>
        <v>274935</v>
      </c>
      <c r="AE10" s="9">
        <f>SUM(AE7:AE9)</f>
        <v>1502148</v>
      </c>
      <c r="AF10" s="9">
        <f t="shared" ref="AF10:AG10" si="17">SUM(AF7:AF9)</f>
        <v>453464</v>
      </c>
      <c r="AG10" s="9">
        <f t="shared" si="17"/>
        <v>398855</v>
      </c>
      <c r="AH10" s="9">
        <f>SUM(AH7:AH9)</f>
        <v>347015</v>
      </c>
      <c r="AI10" s="9">
        <f>SUM(AI7:AI9)</f>
        <v>290358</v>
      </c>
      <c r="AJ10" s="24">
        <f>SUM(AJ7:AJ9)</f>
        <v>1489693</v>
      </c>
    </row>
    <row r="11" spans="1:36" s="2" customFormat="1" ht="12.75" x14ac:dyDescent="0.2">
      <c r="A11" s="4" t="s">
        <v>152</v>
      </c>
      <c r="B11" s="5">
        <v>-9618</v>
      </c>
      <c r="C11" s="5">
        <v>-14209</v>
      </c>
      <c r="D11" s="5">
        <v>-17841</v>
      </c>
      <c r="E11" s="5">
        <v>-15426</v>
      </c>
      <c r="F11" s="21">
        <f>SUM(B11:E11)</f>
        <v>-57094</v>
      </c>
      <c r="G11" s="5">
        <v>-12183</v>
      </c>
      <c r="H11" s="5">
        <v>-15360</v>
      </c>
      <c r="I11" s="5">
        <v>-24033</v>
      </c>
      <c r="J11" s="5">
        <v>-19840</v>
      </c>
      <c r="K11" s="21">
        <f>SUM(G11:J11)</f>
        <v>-71416</v>
      </c>
      <c r="L11" s="5">
        <v>-26979</v>
      </c>
      <c r="M11" s="5">
        <v>-34294</v>
      </c>
      <c r="N11" s="5">
        <v>-32480</v>
      </c>
      <c r="O11" s="5">
        <f>217249-239364</f>
        <v>-22115</v>
      </c>
      <c r="P11" s="21">
        <f>SUM(L11:O11)</f>
        <v>-115868</v>
      </c>
      <c r="Q11" s="5">
        <v>-24912</v>
      </c>
      <c r="R11" s="5">
        <v>-25762</v>
      </c>
      <c r="S11" s="5">
        <v>-35013</v>
      </c>
      <c r="T11" s="5">
        <v>-29188</v>
      </c>
      <c r="U11" s="21">
        <f>SUM(Q11:T11)</f>
        <v>-114875</v>
      </c>
      <c r="V11" s="5">
        <v>-29514</v>
      </c>
      <c r="W11" s="5">
        <v>-25111</v>
      </c>
      <c r="X11" s="5">
        <v>-40381</v>
      </c>
      <c r="Y11" s="5">
        <v>-43404</v>
      </c>
      <c r="Z11" s="21">
        <f>SUM(V11:Y11)</f>
        <v>-138410</v>
      </c>
      <c r="AA11" s="5">
        <v>-47332</v>
      </c>
      <c r="AB11" s="5">
        <v>-47381</v>
      </c>
      <c r="AC11" s="5">
        <v>-43470</v>
      </c>
      <c r="AD11" s="5">
        <v>-26529</v>
      </c>
      <c r="AE11" s="21">
        <f>SUM(AA11:AD11)-1</f>
        <v>-164713</v>
      </c>
      <c r="AF11" s="5">
        <v>-42114</v>
      </c>
      <c r="AG11" s="5">
        <v>-39258</v>
      </c>
      <c r="AH11" s="5">
        <v>-40322</v>
      </c>
      <c r="AI11" s="5">
        <v>-37218</v>
      </c>
      <c r="AJ11" s="21">
        <f>SUM(AF11:AI11)-1</f>
        <v>-158913</v>
      </c>
    </row>
    <row r="12" spans="1:36" s="2" customFormat="1" ht="13.5" thickBot="1" x14ac:dyDescent="0.25">
      <c r="A12" s="1" t="s">
        <v>77</v>
      </c>
      <c r="B12" s="10">
        <f>SUM(B10:B11)</f>
        <v>127896</v>
      </c>
      <c r="C12" s="10">
        <f>SUM(C10:C11)</f>
        <v>141495</v>
      </c>
      <c r="D12" s="10">
        <f>SUM(D10:D11)</f>
        <v>174027</v>
      </c>
      <c r="E12" s="10">
        <f>SUM(E10:E11)</f>
        <v>155681</v>
      </c>
      <c r="F12" s="25">
        <f>SUM(F10:F11)</f>
        <v>599099</v>
      </c>
      <c r="G12" s="10">
        <f t="shared" ref="G12" si="18">SUM(G10:G11)</f>
        <v>149681</v>
      </c>
      <c r="H12" s="10">
        <f t="shared" ref="H12" si="19">SUM(H10:H11)</f>
        <v>163229</v>
      </c>
      <c r="I12" s="10">
        <f t="shared" ref="I12" si="20">SUM(I10:I11)</f>
        <v>190441</v>
      </c>
      <c r="J12" s="10">
        <f t="shared" ref="J12:P12" si="21">SUM(J10:J11)</f>
        <v>175244</v>
      </c>
      <c r="K12" s="25">
        <f t="shared" si="21"/>
        <v>678595</v>
      </c>
      <c r="L12" s="10">
        <f t="shared" si="21"/>
        <v>199897</v>
      </c>
      <c r="M12" s="10">
        <f t="shared" si="21"/>
        <v>268233</v>
      </c>
      <c r="N12" s="10">
        <f t="shared" si="21"/>
        <v>289199</v>
      </c>
      <c r="O12" s="10">
        <f t="shared" si="21"/>
        <v>217250</v>
      </c>
      <c r="P12" s="25">
        <f t="shared" si="21"/>
        <v>974579</v>
      </c>
      <c r="Q12" s="10">
        <f t="shared" ref="Q12:R12" si="22">SUM(Q10:Q11)</f>
        <v>181716</v>
      </c>
      <c r="R12" s="10">
        <f t="shared" si="22"/>
        <v>215581</v>
      </c>
      <c r="S12" s="10">
        <f t="shared" ref="S12:U12" si="23">SUM(S10:S11)</f>
        <v>226302</v>
      </c>
      <c r="T12" s="10">
        <f t="shared" si="23"/>
        <v>203499</v>
      </c>
      <c r="U12" s="25">
        <f t="shared" si="23"/>
        <v>827098</v>
      </c>
      <c r="V12" s="10">
        <f t="shared" ref="V12:W12" si="24">SUM(V10:V11)</f>
        <v>208880</v>
      </c>
      <c r="W12" s="10">
        <f t="shared" si="24"/>
        <v>181555</v>
      </c>
      <c r="X12" s="10">
        <f t="shared" ref="X12:AA12" si="25">SUM(X10:X11)</f>
        <v>313046</v>
      </c>
      <c r="Y12" s="10">
        <f t="shared" si="25"/>
        <v>337449</v>
      </c>
      <c r="Z12" s="25">
        <f t="shared" si="25"/>
        <v>1040930</v>
      </c>
      <c r="AA12" s="10">
        <f t="shared" si="25"/>
        <v>354193</v>
      </c>
      <c r="AB12" s="10">
        <f t="shared" ref="AB12:AC12" si="26">SUM(AB10:AB11)</f>
        <v>447506</v>
      </c>
      <c r="AC12" s="10">
        <f t="shared" si="26"/>
        <v>287330</v>
      </c>
      <c r="AD12" s="10">
        <f t="shared" ref="AD12:AE12" si="27">SUM(AD10:AD11)</f>
        <v>248406</v>
      </c>
      <c r="AE12" s="25">
        <f t="shared" si="27"/>
        <v>1337435</v>
      </c>
      <c r="AF12" s="10">
        <f t="shared" ref="AF12:AG12" si="28">SUM(AF10:AF11)</f>
        <v>411350</v>
      </c>
      <c r="AG12" s="10">
        <f t="shared" si="28"/>
        <v>359597</v>
      </c>
      <c r="AH12" s="10">
        <f>SUM(AH10:AH11)</f>
        <v>306693</v>
      </c>
      <c r="AI12" s="10">
        <f>SUM(AI10:AI11)</f>
        <v>253140</v>
      </c>
      <c r="AJ12" s="25">
        <f>SUM(AJ10:AJ11)</f>
        <v>1330780</v>
      </c>
    </row>
    <row r="13" spans="1:36" s="2" customFormat="1" ht="13.5" thickTop="1" x14ac:dyDescent="0.2">
      <c r="A13" s="1"/>
      <c r="B13" s="11"/>
      <c r="C13" s="11"/>
      <c r="D13" s="11"/>
      <c r="E13" s="11"/>
      <c r="F13" s="26"/>
      <c r="G13" s="11"/>
      <c r="H13" s="11"/>
      <c r="I13" s="11"/>
      <c r="J13" s="11"/>
      <c r="K13" s="26"/>
      <c r="L13" s="11"/>
      <c r="M13" s="11"/>
      <c r="N13" s="11"/>
      <c r="O13" s="11"/>
      <c r="P13" s="26"/>
      <c r="Q13" s="11"/>
      <c r="R13" s="11"/>
      <c r="S13" s="11"/>
      <c r="T13" s="11"/>
      <c r="U13" s="26"/>
      <c r="V13" s="11"/>
      <c r="W13" s="11"/>
      <c r="X13" s="11"/>
      <c r="Y13" s="11"/>
      <c r="Z13" s="26"/>
      <c r="AA13" s="11"/>
      <c r="AB13" s="11"/>
      <c r="AC13" s="11"/>
      <c r="AD13" s="11"/>
      <c r="AE13" s="26"/>
      <c r="AF13" s="11"/>
      <c r="AG13" s="11"/>
      <c r="AH13" s="11"/>
      <c r="AI13" s="11"/>
      <c r="AJ13" s="26"/>
    </row>
    <row r="14" spans="1:36" s="2" customFormat="1" ht="12.75" x14ac:dyDescent="0.2">
      <c r="A14" s="53" t="s">
        <v>78</v>
      </c>
      <c r="B14" s="3"/>
      <c r="C14" s="3"/>
      <c r="D14" s="3"/>
      <c r="E14" s="3"/>
      <c r="F14" s="20"/>
      <c r="G14" s="3"/>
      <c r="H14" s="3"/>
      <c r="I14" s="3"/>
      <c r="J14" s="3"/>
      <c r="K14" s="20"/>
      <c r="L14" s="3"/>
      <c r="M14" s="3"/>
      <c r="N14" s="3"/>
      <c r="O14" s="3"/>
      <c r="P14" s="20"/>
      <c r="Q14" s="3"/>
      <c r="R14" s="3"/>
      <c r="S14" s="3"/>
      <c r="T14" s="3"/>
      <c r="U14" s="20"/>
      <c r="V14" s="3"/>
      <c r="W14" s="3"/>
      <c r="X14" s="3"/>
      <c r="Y14" s="3"/>
      <c r="Z14" s="20"/>
      <c r="AA14" s="3"/>
      <c r="AB14" s="3"/>
      <c r="AC14" s="3"/>
      <c r="AD14" s="3"/>
      <c r="AE14" s="20"/>
      <c r="AF14" s="3"/>
      <c r="AG14" s="3"/>
      <c r="AH14" s="3"/>
      <c r="AI14" s="3"/>
      <c r="AJ14" s="20"/>
    </row>
    <row r="15" spans="1:36" s="2" customFormat="1" ht="12.75" x14ac:dyDescent="0.2">
      <c r="A15" s="4" t="s">
        <v>151</v>
      </c>
      <c r="B15" s="55">
        <f>16335+34</f>
        <v>16369</v>
      </c>
      <c r="C15" s="55">
        <f>21060+38</f>
        <v>21098</v>
      </c>
      <c r="D15" s="55">
        <f>39758+36</f>
        <v>39794</v>
      </c>
      <c r="E15" s="55">
        <f>28855+36-1</f>
        <v>28890</v>
      </c>
      <c r="F15" s="61">
        <f t="shared" ref="F15:F19" si="29">SUM(B15:E15)</f>
        <v>106151</v>
      </c>
      <c r="G15" s="55">
        <v>19343</v>
      </c>
      <c r="H15" s="55">
        <v>23823</v>
      </c>
      <c r="I15" s="55">
        <v>48034</v>
      </c>
      <c r="J15" s="55">
        <v>35507</v>
      </c>
      <c r="K15" s="61">
        <f t="shared" ref="K15:K19" si="30">SUM(G15:J15)</f>
        <v>126707</v>
      </c>
      <c r="L15" s="55">
        <v>37697</v>
      </c>
      <c r="M15" s="55">
        <v>43691</v>
      </c>
      <c r="N15" s="55">
        <v>58680</v>
      </c>
      <c r="O15" s="55">
        <v>29766</v>
      </c>
      <c r="P15" s="61">
        <f t="shared" ref="P15:P19" si="31">SUM(L15:O15)</f>
        <v>169834</v>
      </c>
      <c r="Q15" s="55">
        <v>26850</v>
      </c>
      <c r="R15" s="55">
        <v>26131</v>
      </c>
      <c r="S15" s="55">
        <v>42996</v>
      </c>
      <c r="T15" s="55">
        <v>38010</v>
      </c>
      <c r="U15" s="61">
        <f t="shared" ref="U15:U19" si="32">SUM(Q15:T15)</f>
        <v>133987</v>
      </c>
      <c r="V15" s="55">
        <v>34982</v>
      </c>
      <c r="W15" s="55">
        <v>25659</v>
      </c>
      <c r="X15" s="55">
        <v>59649</v>
      </c>
      <c r="Y15" s="55">
        <v>62512</v>
      </c>
      <c r="Z15" s="61">
        <f t="shared" ref="Z15:Z19" si="33">SUM(V15:Y15)</f>
        <v>182802</v>
      </c>
      <c r="AA15" s="55">
        <v>67858</v>
      </c>
      <c r="AB15" s="55">
        <v>77259</v>
      </c>
      <c r="AC15" s="55">
        <v>76023</v>
      </c>
      <c r="AD15" s="55">
        <v>41804</v>
      </c>
      <c r="AE15" s="61">
        <f t="shared" ref="AE15:AE19" si="34">SUM(AA15:AD15)</f>
        <v>262944</v>
      </c>
      <c r="AF15" s="55">
        <v>76434</v>
      </c>
      <c r="AG15" s="55">
        <v>57890</v>
      </c>
      <c r="AH15" s="55">
        <v>64482</v>
      </c>
      <c r="AI15" s="55">
        <v>50567</v>
      </c>
      <c r="AJ15" s="61">
        <f t="shared" ref="AJ15:AJ19" si="35">SUM(AF15:AI15)</f>
        <v>249373</v>
      </c>
    </row>
    <row r="16" spans="1:36" s="2" customFormat="1" ht="12.75" x14ac:dyDescent="0.2">
      <c r="A16" s="4" t="s">
        <v>75</v>
      </c>
      <c r="B16" s="56">
        <f>2857+345</f>
        <v>3202</v>
      </c>
      <c r="C16" s="56">
        <f>6490+473</f>
        <v>6963</v>
      </c>
      <c r="D16" s="56">
        <f>12493+409</f>
        <v>12902</v>
      </c>
      <c r="E16" s="56">
        <f>10098+409</f>
        <v>10507</v>
      </c>
      <c r="F16" s="62">
        <f t="shared" si="29"/>
        <v>33574</v>
      </c>
      <c r="G16" s="56">
        <v>10769</v>
      </c>
      <c r="H16" s="56">
        <v>23496</v>
      </c>
      <c r="I16" s="56">
        <v>24395</v>
      </c>
      <c r="J16" s="56">
        <v>21964</v>
      </c>
      <c r="K16" s="62">
        <f t="shared" si="30"/>
        <v>80624</v>
      </c>
      <c r="L16" s="56">
        <v>28950</v>
      </c>
      <c r="M16" s="56">
        <v>51566</v>
      </c>
      <c r="N16" s="56">
        <v>46446</v>
      </c>
      <c r="O16" s="56">
        <v>3621</v>
      </c>
      <c r="P16" s="62">
        <f t="shared" si="31"/>
        <v>130583</v>
      </c>
      <c r="Q16" s="56">
        <v>7226</v>
      </c>
      <c r="R16" s="56">
        <v>-2071</v>
      </c>
      <c r="S16" s="56">
        <v>5903</v>
      </c>
      <c r="T16" s="56">
        <v>1843</v>
      </c>
      <c r="U16" s="62">
        <f t="shared" si="32"/>
        <v>12901</v>
      </c>
      <c r="V16" s="56">
        <v>13229</v>
      </c>
      <c r="W16" s="56">
        <v>10907</v>
      </c>
      <c r="X16" s="56">
        <v>81644</v>
      </c>
      <c r="Y16" s="56">
        <v>70315</v>
      </c>
      <c r="Z16" s="62">
        <f t="shared" si="33"/>
        <v>176095</v>
      </c>
      <c r="AA16" s="56">
        <v>125555</v>
      </c>
      <c r="AB16" s="56">
        <v>204533</v>
      </c>
      <c r="AC16" s="56">
        <v>26566</v>
      </c>
      <c r="AD16" s="56">
        <v>37204</v>
      </c>
      <c r="AE16" s="62">
        <f t="shared" si="34"/>
        <v>393858</v>
      </c>
      <c r="AF16" s="56">
        <v>149951</v>
      </c>
      <c r="AG16" s="56">
        <v>107256</v>
      </c>
      <c r="AH16" s="56">
        <v>31258</v>
      </c>
      <c r="AI16" s="56">
        <v>2442</v>
      </c>
      <c r="AJ16" s="62">
        <f t="shared" si="35"/>
        <v>290907</v>
      </c>
    </row>
    <row r="17" spans="1:36" s="2" customFormat="1" ht="12.75" x14ac:dyDescent="0.2">
      <c r="A17" s="4" t="s">
        <v>76</v>
      </c>
      <c r="B17" s="56">
        <f>4322+8</f>
        <v>4330</v>
      </c>
      <c r="C17" s="56">
        <f>8602+9</f>
        <v>8611</v>
      </c>
      <c r="D17" s="56">
        <f>7249+8</f>
        <v>7257</v>
      </c>
      <c r="E17" s="56">
        <f>7375+8+1</f>
        <v>7384</v>
      </c>
      <c r="F17" s="62">
        <f t="shared" si="29"/>
        <v>27582</v>
      </c>
      <c r="G17" s="56">
        <v>13460</v>
      </c>
      <c r="H17" s="56">
        <v>6779</v>
      </c>
      <c r="I17" s="56">
        <v>2094</v>
      </c>
      <c r="J17" s="56">
        <v>3387</v>
      </c>
      <c r="K17" s="62">
        <f t="shared" si="30"/>
        <v>25720</v>
      </c>
      <c r="L17" s="56">
        <v>8002</v>
      </c>
      <c r="M17" s="56">
        <v>12300</v>
      </c>
      <c r="N17" s="56">
        <v>7467</v>
      </c>
      <c r="O17" s="56">
        <v>12535</v>
      </c>
      <c r="P17" s="62">
        <f t="shared" si="31"/>
        <v>40304</v>
      </c>
      <c r="Q17" s="56">
        <v>2703</v>
      </c>
      <c r="R17" s="56">
        <v>31316</v>
      </c>
      <c r="S17" s="56">
        <v>14678</v>
      </c>
      <c r="T17" s="56">
        <v>13953</v>
      </c>
      <c r="U17" s="62">
        <f t="shared" si="32"/>
        <v>62650</v>
      </c>
      <c r="V17" s="56">
        <v>7340</v>
      </c>
      <c r="W17" s="56">
        <v>9256</v>
      </c>
      <c r="X17" s="56">
        <v>13466</v>
      </c>
      <c r="Y17" s="56">
        <v>56414</v>
      </c>
      <c r="Z17" s="62">
        <f t="shared" si="33"/>
        <v>86476</v>
      </c>
      <c r="AA17" s="56">
        <v>16593</v>
      </c>
      <c r="AB17" s="56">
        <v>11788</v>
      </c>
      <c r="AC17" s="56">
        <v>9069</v>
      </c>
      <c r="AD17" s="56">
        <v>10007</v>
      </c>
      <c r="AE17" s="62">
        <f t="shared" si="34"/>
        <v>47457</v>
      </c>
      <c r="AF17" s="56">
        <v>30124</v>
      </c>
      <c r="AG17" s="56">
        <v>21816</v>
      </c>
      <c r="AH17" s="56">
        <v>14140</v>
      </c>
      <c r="AI17" s="56">
        <v>7178</v>
      </c>
      <c r="AJ17" s="62">
        <f t="shared" si="35"/>
        <v>73258</v>
      </c>
    </row>
    <row r="18" spans="1:36" s="2" customFormat="1" ht="12.75" x14ac:dyDescent="0.2">
      <c r="A18" s="4" t="s">
        <v>79</v>
      </c>
      <c r="B18" s="56">
        <f>-9423+1710+220</f>
        <v>-7493</v>
      </c>
      <c r="C18" s="56">
        <f>-9984+1954+802</f>
        <v>-7228</v>
      </c>
      <c r="D18" s="56">
        <f>-8719+1832</f>
        <v>-6887</v>
      </c>
      <c r="E18" s="56">
        <f>-9570+1832</f>
        <v>-7738</v>
      </c>
      <c r="F18" s="62">
        <f t="shared" si="29"/>
        <v>-29346</v>
      </c>
      <c r="G18" s="56">
        <v>-7692</v>
      </c>
      <c r="H18" s="56">
        <v>-9009</v>
      </c>
      <c r="I18" s="56">
        <v>-9108</v>
      </c>
      <c r="J18" s="56">
        <v>-8493</v>
      </c>
      <c r="K18" s="62">
        <f t="shared" si="30"/>
        <v>-34302</v>
      </c>
      <c r="L18" s="56">
        <v>-8716</v>
      </c>
      <c r="M18" s="56">
        <v>-11264</v>
      </c>
      <c r="N18" s="56">
        <v>-8989</v>
      </c>
      <c r="O18" s="56">
        <v>-8816</v>
      </c>
      <c r="P18" s="62">
        <f t="shared" si="31"/>
        <v>-37785</v>
      </c>
      <c r="Q18" s="56">
        <v>-10654</v>
      </c>
      <c r="R18" s="56">
        <v>-9346</v>
      </c>
      <c r="S18" s="56">
        <v>-6930</v>
      </c>
      <c r="T18" s="56">
        <v>-9327</v>
      </c>
      <c r="U18" s="62">
        <f t="shared" si="32"/>
        <v>-36257</v>
      </c>
      <c r="V18" s="56">
        <v>-8672</v>
      </c>
      <c r="W18" s="56">
        <v>-10534</v>
      </c>
      <c r="X18" s="56">
        <v>-15361</v>
      </c>
      <c r="Y18" s="56">
        <v>-13884</v>
      </c>
      <c r="Z18" s="62">
        <f t="shared" si="33"/>
        <v>-48451</v>
      </c>
      <c r="AA18" s="56">
        <v>-10710</v>
      </c>
      <c r="AB18" s="56">
        <v>-12822</v>
      </c>
      <c r="AC18" s="56">
        <v>-11496</v>
      </c>
      <c r="AD18" s="56">
        <v>-12365</v>
      </c>
      <c r="AE18" s="62">
        <f t="shared" si="34"/>
        <v>-47393</v>
      </c>
      <c r="AF18" s="56">
        <v>-9584</v>
      </c>
      <c r="AG18" s="56">
        <v>-13912</v>
      </c>
      <c r="AH18" s="56">
        <v>-12629</v>
      </c>
      <c r="AI18" s="56">
        <v>-13189</v>
      </c>
      <c r="AJ18" s="62">
        <f t="shared" si="35"/>
        <v>-49314</v>
      </c>
    </row>
    <row r="19" spans="1:36" s="2" customFormat="1" ht="12.75" x14ac:dyDescent="0.2">
      <c r="A19" s="54" t="s">
        <v>80</v>
      </c>
      <c r="B19" s="56">
        <f>1254-2</f>
        <v>1252</v>
      </c>
      <c r="C19" s="56">
        <f>-1092+1</f>
        <v>-1091</v>
      </c>
      <c r="D19" s="56">
        <f>-2045+3</f>
        <v>-2042</v>
      </c>
      <c r="E19" s="56">
        <f>-1625-2</f>
        <v>-1627</v>
      </c>
      <c r="F19" s="62">
        <f t="shared" si="29"/>
        <v>-3508</v>
      </c>
      <c r="G19" s="56">
        <v>1040</v>
      </c>
      <c r="H19" s="56">
        <v>988</v>
      </c>
      <c r="I19" s="56">
        <v>-3180</v>
      </c>
      <c r="J19" s="56">
        <v>-1840</v>
      </c>
      <c r="K19" s="62">
        <f t="shared" si="30"/>
        <v>-2992</v>
      </c>
      <c r="L19" s="56">
        <v>-1201</v>
      </c>
      <c r="M19" s="56">
        <v>-2085</v>
      </c>
      <c r="N19" s="56">
        <v>-1794</v>
      </c>
      <c r="O19" s="56">
        <v>-663</v>
      </c>
      <c r="P19" s="62">
        <f t="shared" si="31"/>
        <v>-5743</v>
      </c>
      <c r="Q19" s="56">
        <v>2127</v>
      </c>
      <c r="R19" s="56">
        <v>3050</v>
      </c>
      <c r="S19" s="56">
        <v>-1635</v>
      </c>
      <c r="T19" s="56">
        <v>2120</v>
      </c>
      <c r="U19" s="62">
        <f t="shared" si="32"/>
        <v>5662</v>
      </c>
      <c r="V19" s="56">
        <v>692</v>
      </c>
      <c r="W19" s="56">
        <v>85</v>
      </c>
      <c r="X19" s="56">
        <v>-4012</v>
      </c>
      <c r="Y19" s="56">
        <v>-11459</v>
      </c>
      <c r="Z19" s="62">
        <f t="shared" si="33"/>
        <v>-14694</v>
      </c>
      <c r="AA19" s="56">
        <v>-4310</v>
      </c>
      <c r="AB19" s="56">
        <v>-5774</v>
      </c>
      <c r="AC19" s="56">
        <v>7021</v>
      </c>
      <c r="AD19" s="56">
        <v>-932</v>
      </c>
      <c r="AE19" s="62">
        <f t="shared" si="34"/>
        <v>-3995</v>
      </c>
      <c r="AF19" s="56">
        <v>-1363</v>
      </c>
      <c r="AG19" s="56">
        <v>2120</v>
      </c>
      <c r="AH19" s="56">
        <v>3839</v>
      </c>
      <c r="AI19" s="56">
        <v>5335</v>
      </c>
      <c r="AJ19" s="62">
        <f t="shared" si="35"/>
        <v>9931</v>
      </c>
    </row>
    <row r="20" spans="1:36" s="2" customFormat="1" ht="14.25" x14ac:dyDescent="0.2">
      <c r="A20" s="4" t="s">
        <v>121</v>
      </c>
      <c r="B20" s="57">
        <f>SUM(B15:B19)</f>
        <v>17660</v>
      </c>
      <c r="C20" s="57">
        <f>SUM(C15:C19)</f>
        <v>28353</v>
      </c>
      <c r="D20" s="57">
        <f>SUM(D15:D19)</f>
        <v>51024</v>
      </c>
      <c r="E20" s="57">
        <f>SUM(E15:E19)</f>
        <v>37416</v>
      </c>
      <c r="F20" s="63">
        <f>SUM(F15:F19)</f>
        <v>134453</v>
      </c>
      <c r="G20" s="57">
        <f t="shared" ref="G20" si="36">SUM(G15:G19)</f>
        <v>36920</v>
      </c>
      <c r="H20" s="57">
        <f t="shared" ref="H20" si="37">SUM(H15:H19)</f>
        <v>46077</v>
      </c>
      <c r="I20" s="57">
        <f t="shared" ref="I20" si="38">SUM(I15:I19)</f>
        <v>62235</v>
      </c>
      <c r="J20" s="57">
        <f t="shared" ref="J20:O20" si="39">SUM(J15:J19)</f>
        <v>50525</v>
      </c>
      <c r="K20" s="63">
        <f t="shared" si="39"/>
        <v>195757</v>
      </c>
      <c r="L20" s="57">
        <f t="shared" si="39"/>
        <v>64732</v>
      </c>
      <c r="M20" s="57">
        <f t="shared" si="39"/>
        <v>94208</v>
      </c>
      <c r="N20" s="57">
        <f t="shared" si="39"/>
        <v>101810</v>
      </c>
      <c r="O20" s="57">
        <f t="shared" si="39"/>
        <v>36443</v>
      </c>
      <c r="P20" s="63">
        <f>SUM(P15:P19)</f>
        <v>297193</v>
      </c>
      <c r="Q20" s="57">
        <f t="shared" ref="Q20:R20" si="40">SUM(Q15:Q19)</f>
        <v>28252</v>
      </c>
      <c r="R20" s="57">
        <f t="shared" si="40"/>
        <v>49080</v>
      </c>
      <c r="S20" s="57">
        <f t="shared" ref="S20:T20" si="41">SUM(S15:S19)</f>
        <v>55012</v>
      </c>
      <c r="T20" s="57">
        <f t="shared" si="41"/>
        <v>46599</v>
      </c>
      <c r="U20" s="63">
        <f>SUM(U15:U19)</f>
        <v>178943</v>
      </c>
      <c r="V20" s="57">
        <f t="shared" ref="V20:W20" si="42">SUM(V15:V19)</f>
        <v>47571</v>
      </c>
      <c r="W20" s="57">
        <f t="shared" si="42"/>
        <v>35373</v>
      </c>
      <c r="X20" s="57">
        <f t="shared" ref="X20:Y20" si="43">SUM(X15:X19)</f>
        <v>135386</v>
      </c>
      <c r="Y20" s="57">
        <f t="shared" si="43"/>
        <v>163898</v>
      </c>
      <c r="Z20" s="63">
        <f>SUM(Z15:Z19)</f>
        <v>382228</v>
      </c>
      <c r="AA20" s="57">
        <f t="shared" ref="AA20:AB20" si="44">SUM(AA15:AA19)</f>
        <v>194986</v>
      </c>
      <c r="AB20" s="57">
        <f t="shared" si="44"/>
        <v>274984</v>
      </c>
      <c r="AC20" s="57">
        <f t="shared" ref="AC20:AD20" si="45">SUM(AC15:AC19)</f>
        <v>107183</v>
      </c>
      <c r="AD20" s="57">
        <f t="shared" si="45"/>
        <v>75718</v>
      </c>
      <c r="AE20" s="63">
        <f>SUM(AE15:AE19)</f>
        <v>652871</v>
      </c>
      <c r="AF20" s="57">
        <f t="shared" ref="AF20:AG20" si="46">SUM(AF15:AF19)</f>
        <v>245562</v>
      </c>
      <c r="AG20" s="57">
        <f t="shared" si="46"/>
        <v>175170</v>
      </c>
      <c r="AH20" s="57">
        <f>SUM(AH15:AH19)</f>
        <v>101090</v>
      </c>
      <c r="AI20" s="57">
        <f>SUM(AI15:AI19)</f>
        <v>52333</v>
      </c>
      <c r="AJ20" s="63">
        <f>SUM(AJ15:AJ19)</f>
        <v>574155</v>
      </c>
    </row>
    <row r="21" spans="1:36" s="2" customFormat="1" ht="12.75" x14ac:dyDescent="0.2">
      <c r="A21" s="1" t="s">
        <v>6</v>
      </c>
      <c r="B21" s="56">
        <f>'Income Statements'!B20</f>
        <v>-6025</v>
      </c>
      <c r="C21" s="56">
        <f>'Income Statements'!C20</f>
        <v>-8206</v>
      </c>
      <c r="D21" s="56">
        <f>'Income Statements'!D20</f>
        <v>-7786</v>
      </c>
      <c r="E21" s="56">
        <f>'Income Statements'!E20</f>
        <v>-6924</v>
      </c>
      <c r="F21" s="62">
        <f>SUM(B21:E21)</f>
        <v>-28941</v>
      </c>
      <c r="G21" s="56">
        <f>'Income Statements'!G20</f>
        <v>-4970</v>
      </c>
      <c r="H21" s="56">
        <f>'Income Statements'!H20</f>
        <v>-7348</v>
      </c>
      <c r="I21" s="56">
        <f>'Income Statements'!I20</f>
        <v>-7336</v>
      </c>
      <c r="J21" s="56">
        <f>'Income Statements'!J20</f>
        <v>-7395</v>
      </c>
      <c r="K21" s="62">
        <f>SUM(G21:J21)</f>
        <v>-27049</v>
      </c>
      <c r="L21" s="56">
        <v>-5660</v>
      </c>
      <c r="M21" s="56">
        <v>-9356</v>
      </c>
      <c r="N21" s="56">
        <v>-10109</v>
      </c>
      <c r="O21" s="56">
        <v>-10102</v>
      </c>
      <c r="P21" s="62">
        <f>SUM(L21:O21)</f>
        <v>-35227</v>
      </c>
      <c r="Q21" s="56">
        <v>-5464</v>
      </c>
      <c r="R21" s="56">
        <v>-7882</v>
      </c>
      <c r="S21" s="56">
        <v>-8475</v>
      </c>
      <c r="T21" s="56">
        <v>-8540</v>
      </c>
      <c r="U21" s="62">
        <f>SUM(Q21:T21)</f>
        <v>-30361</v>
      </c>
      <c r="V21" s="56">
        <v>-3698</v>
      </c>
      <c r="W21" s="56">
        <v>-8339</v>
      </c>
      <c r="X21" s="56">
        <v>-8557</v>
      </c>
      <c r="Y21" s="56">
        <v>-8869</v>
      </c>
      <c r="Z21" s="62">
        <f>SUM(V21:Y21)</f>
        <v>-29463</v>
      </c>
      <c r="AA21" s="56">
        <v>-3574</v>
      </c>
      <c r="AB21" s="56">
        <v>-8199</v>
      </c>
      <c r="AC21" s="56">
        <v>-8641</v>
      </c>
      <c r="AD21" s="56">
        <v>-8861</v>
      </c>
      <c r="AE21" s="62">
        <f>SUM(AA21:AD21)</f>
        <v>-29275</v>
      </c>
      <c r="AF21" s="56">
        <v>-2894</v>
      </c>
      <c r="AG21" s="56">
        <v>-7419</v>
      </c>
      <c r="AH21" s="56">
        <v>-8280</v>
      </c>
      <c r="AI21" s="56">
        <v>-8807</v>
      </c>
      <c r="AJ21" s="62">
        <f>SUM(AF21:AI21)</f>
        <v>-27400</v>
      </c>
    </row>
    <row r="22" spans="1:36" s="2" customFormat="1" ht="12" customHeight="1" x14ac:dyDescent="0.2">
      <c r="A22" s="1" t="s">
        <v>40</v>
      </c>
      <c r="B22" s="56">
        <f>-B44</f>
        <v>-8239</v>
      </c>
      <c r="C22" s="56">
        <f t="shared" ref="C22:E22" si="47">-C44</f>
        <v>-7401</v>
      </c>
      <c r="D22" s="56">
        <f t="shared" si="47"/>
        <v>-8480</v>
      </c>
      <c r="E22" s="56">
        <f t="shared" si="47"/>
        <v>-8091</v>
      </c>
      <c r="F22" s="62">
        <f t="shared" ref="F22:F35" si="48">SUM(B22:E22)</f>
        <v>-32211</v>
      </c>
      <c r="G22" s="56">
        <f t="shared" ref="G22:J22" si="49">-G44</f>
        <v>-6329</v>
      </c>
      <c r="H22" s="56">
        <f t="shared" si="49"/>
        <v>-6271</v>
      </c>
      <c r="I22" s="56">
        <f t="shared" si="49"/>
        <v>-8196</v>
      </c>
      <c r="J22" s="56">
        <f t="shared" si="49"/>
        <v>-7636</v>
      </c>
      <c r="K22" s="62">
        <f t="shared" ref="K22:K35" si="50">SUM(G22:J22)</f>
        <v>-28432</v>
      </c>
      <c r="L22" s="56">
        <v>-12196</v>
      </c>
      <c r="M22" s="56">
        <v>-20950</v>
      </c>
      <c r="N22" s="56">
        <v>-18836</v>
      </c>
      <c r="O22" s="56">
        <f>-18867+1</f>
        <v>-18866</v>
      </c>
      <c r="P22" s="62">
        <f t="shared" ref="P22:P35" si="51">SUM(L22:O22)</f>
        <v>-70848</v>
      </c>
      <c r="Q22" s="56">
        <v>-15797</v>
      </c>
      <c r="R22" s="56">
        <v>-16727</v>
      </c>
      <c r="S22" s="56">
        <v>-18786</v>
      </c>
      <c r="T22" s="56">
        <v>-19107</v>
      </c>
      <c r="U22" s="62">
        <f t="shared" ref="U22:U35" si="52">SUM(Q22:T22)</f>
        <v>-70417</v>
      </c>
      <c r="V22" s="56">
        <v>-18638</v>
      </c>
      <c r="W22" s="56">
        <v>-17765</v>
      </c>
      <c r="X22" s="56">
        <v>-20187</v>
      </c>
      <c r="Y22" s="56">
        <v>-19671</v>
      </c>
      <c r="Z22" s="62">
        <f t="shared" ref="Z22:Z35" si="53">SUM(V22:Y22)</f>
        <v>-76261</v>
      </c>
      <c r="AA22" s="56">
        <v>-17996</v>
      </c>
      <c r="AB22" s="56">
        <v>-17029</v>
      </c>
      <c r="AC22" s="56">
        <v>-21131</v>
      </c>
      <c r="AD22" s="56">
        <v>-19477</v>
      </c>
      <c r="AE22" s="62">
        <f t="shared" ref="AE22:AE35" si="54">SUM(AA22:AD22)</f>
        <v>-75633</v>
      </c>
      <c r="AF22" s="56">
        <v>-19502</v>
      </c>
      <c r="AG22" s="56">
        <v>-20007</v>
      </c>
      <c r="AH22" s="56">
        <v>-27329</v>
      </c>
      <c r="AI22" s="56">
        <v>-29862</v>
      </c>
      <c r="AJ22" s="62">
        <f>SUM(AF22:AI22)</f>
        <v>-96700</v>
      </c>
    </row>
    <row r="23" spans="1:36" s="2" customFormat="1" ht="12.75" x14ac:dyDescent="0.2">
      <c r="A23" s="1" t="s">
        <v>41</v>
      </c>
      <c r="B23" s="56">
        <f>-B51</f>
        <v>-2034</v>
      </c>
      <c r="C23" s="56">
        <f>-C51</f>
        <v>-3387</v>
      </c>
      <c r="D23" s="56">
        <f>-D51</f>
        <v>-1265</v>
      </c>
      <c r="E23" s="56">
        <f>-E51</f>
        <v>-1325</v>
      </c>
      <c r="F23" s="62">
        <f>SUM(B23:E23)</f>
        <v>-8011</v>
      </c>
      <c r="G23" s="56">
        <f>-G51</f>
        <v>-4790</v>
      </c>
      <c r="H23" s="56">
        <f>-H51</f>
        <v>-982</v>
      </c>
      <c r="I23" s="56">
        <f>-I51</f>
        <v>-579</v>
      </c>
      <c r="J23" s="56">
        <f>-J51</f>
        <v>-476</v>
      </c>
      <c r="K23" s="62">
        <f>SUM(G23:J23)</f>
        <v>-6827</v>
      </c>
      <c r="L23" s="56">
        <v>-3605</v>
      </c>
      <c r="M23" s="56">
        <v>-2820</v>
      </c>
      <c r="N23" s="56">
        <v>-4248</v>
      </c>
      <c r="O23" s="56">
        <v>-6025</v>
      </c>
      <c r="P23" s="62">
        <f>SUM(L23:O23)</f>
        <v>-16698</v>
      </c>
      <c r="Q23" s="56">
        <v>-1556</v>
      </c>
      <c r="R23" s="56">
        <v>-7427</v>
      </c>
      <c r="S23" s="56">
        <v>-5228</v>
      </c>
      <c r="T23" s="56">
        <v>-6343</v>
      </c>
      <c r="U23" s="62">
        <f>SUM(Q23:T23)</f>
        <v>-20554</v>
      </c>
      <c r="V23" s="56">
        <v>-6498</v>
      </c>
      <c r="W23" s="56">
        <v>-2693</v>
      </c>
      <c r="X23" s="56">
        <v>-5249</v>
      </c>
      <c r="Y23" s="56">
        <v>-10908</v>
      </c>
      <c r="Z23" s="62">
        <f>SUM(V23:Y23)</f>
        <v>-25348</v>
      </c>
      <c r="AA23" s="56">
        <v>-8823</v>
      </c>
      <c r="AB23" s="56">
        <v>-7213</v>
      </c>
      <c r="AC23" s="56">
        <v>-6697</v>
      </c>
      <c r="AD23" s="56">
        <v>-4627</v>
      </c>
      <c r="AE23" s="62">
        <f>SUM(AA23:AD23)</f>
        <v>-27360</v>
      </c>
      <c r="AF23" s="56">
        <v>-10854</v>
      </c>
      <c r="AG23" s="56">
        <v>-7325</v>
      </c>
      <c r="AH23" s="56">
        <v>-6845</v>
      </c>
      <c r="AI23" s="56">
        <v>-4897</v>
      </c>
      <c r="AJ23" s="62">
        <f>SUM(AF23:AI23)</f>
        <v>-29921</v>
      </c>
    </row>
    <row r="24" spans="1:36" s="2" customFormat="1" ht="12.75" x14ac:dyDescent="0.2">
      <c r="A24" s="1" t="s">
        <v>204</v>
      </c>
      <c r="B24" s="56"/>
      <c r="C24" s="56"/>
      <c r="D24" s="56"/>
      <c r="E24" s="56"/>
      <c r="F24" s="62"/>
      <c r="G24" s="56"/>
      <c r="H24" s="56"/>
      <c r="I24" s="56"/>
      <c r="J24" s="56"/>
      <c r="K24" s="62"/>
      <c r="L24" s="56"/>
      <c r="M24" s="56"/>
      <c r="N24" s="56"/>
      <c r="O24" s="56"/>
      <c r="P24" s="62"/>
      <c r="Q24" s="56"/>
      <c r="R24" s="56"/>
      <c r="S24" s="56"/>
      <c r="T24" s="56"/>
      <c r="U24" s="62"/>
      <c r="V24" s="56"/>
      <c r="W24" s="56"/>
      <c r="X24" s="56"/>
      <c r="Y24" s="56"/>
      <c r="Z24" s="62"/>
      <c r="AA24" s="56">
        <v>0</v>
      </c>
      <c r="AB24" s="56">
        <v>0</v>
      </c>
      <c r="AC24" s="56">
        <v>0</v>
      </c>
      <c r="AD24" s="56">
        <v>0</v>
      </c>
      <c r="AE24" s="56">
        <v>0</v>
      </c>
      <c r="AF24" s="56">
        <v>0</v>
      </c>
      <c r="AG24" s="56">
        <v>0</v>
      </c>
      <c r="AH24" s="56">
        <v>-26007</v>
      </c>
      <c r="AI24" s="56">
        <v>-1318</v>
      </c>
      <c r="AJ24" s="62">
        <f>SUM(AF24:AI24)</f>
        <v>-27325</v>
      </c>
    </row>
    <row r="25" spans="1:36" s="2" customFormat="1" ht="12.75" x14ac:dyDescent="0.2">
      <c r="A25" s="1" t="s">
        <v>141</v>
      </c>
      <c r="B25" s="56">
        <v>0</v>
      </c>
      <c r="C25" s="56">
        <v>0</v>
      </c>
      <c r="D25" s="56">
        <v>0</v>
      </c>
      <c r="E25" s="56">
        <v>0</v>
      </c>
      <c r="F25" s="62">
        <f t="shared" ref="F25:F26" si="55">SUM(B25:E25)</f>
        <v>0</v>
      </c>
      <c r="G25" s="56">
        <v>0</v>
      </c>
      <c r="H25" s="56">
        <v>0</v>
      </c>
      <c r="I25" s="56">
        <v>0</v>
      </c>
      <c r="J25" s="56">
        <v>0</v>
      </c>
      <c r="K25" s="62">
        <f t="shared" ref="K25" si="56">SUM(G25:J25)</f>
        <v>0</v>
      </c>
      <c r="L25" s="56">
        <v>0</v>
      </c>
      <c r="M25" s="56">
        <v>0</v>
      </c>
      <c r="N25" s="56">
        <v>0</v>
      </c>
      <c r="O25" s="56">
        <v>0</v>
      </c>
      <c r="P25" s="62">
        <f t="shared" ref="P25:P26" si="57">SUM(L25:O25)</f>
        <v>0</v>
      </c>
      <c r="Q25" s="56">
        <v>-5512</v>
      </c>
      <c r="R25" s="56">
        <v>0</v>
      </c>
      <c r="S25" s="56">
        <v>0</v>
      </c>
      <c r="T25" s="56">
        <v>0</v>
      </c>
      <c r="U25" s="62">
        <f t="shared" si="52"/>
        <v>-5512</v>
      </c>
      <c r="V25" s="56">
        <v>0</v>
      </c>
      <c r="W25" s="56">
        <v>0</v>
      </c>
      <c r="X25" s="56">
        <v>0</v>
      </c>
      <c r="Y25" s="56">
        <v>0</v>
      </c>
      <c r="Z25" s="62">
        <f t="shared" si="53"/>
        <v>0</v>
      </c>
      <c r="AA25" s="56">
        <v>0</v>
      </c>
      <c r="AB25" s="56">
        <v>0</v>
      </c>
      <c r="AC25" s="56">
        <v>0</v>
      </c>
      <c r="AD25" s="56">
        <v>0</v>
      </c>
      <c r="AE25" s="62">
        <f t="shared" si="54"/>
        <v>0</v>
      </c>
      <c r="AF25" s="56">
        <v>0</v>
      </c>
      <c r="AG25" s="56">
        <v>0</v>
      </c>
      <c r="AH25" s="56">
        <v>0</v>
      </c>
      <c r="AI25" s="56">
        <v>0</v>
      </c>
      <c r="AJ25" s="62">
        <f t="shared" ref="AJ25:AJ36" si="58">SUM(AF25:AI25)</f>
        <v>0</v>
      </c>
    </row>
    <row r="26" spans="1:36" s="2" customFormat="1" ht="12.75" x14ac:dyDescent="0.2">
      <c r="A26" s="1" t="s">
        <v>156</v>
      </c>
      <c r="B26" s="56">
        <v>0</v>
      </c>
      <c r="C26" s="56">
        <v>0</v>
      </c>
      <c r="D26" s="56">
        <v>0</v>
      </c>
      <c r="E26" s="56">
        <v>0</v>
      </c>
      <c r="F26" s="62">
        <f t="shared" si="55"/>
        <v>0</v>
      </c>
      <c r="G26" s="56">
        <v>0</v>
      </c>
      <c r="H26" s="56">
        <v>0</v>
      </c>
      <c r="I26" s="56">
        <v>0</v>
      </c>
      <c r="J26" s="56">
        <v>0</v>
      </c>
      <c r="K26" s="62">
        <f t="shared" si="50"/>
        <v>0</v>
      </c>
      <c r="L26" s="56">
        <v>0</v>
      </c>
      <c r="M26" s="56">
        <v>0</v>
      </c>
      <c r="N26" s="56">
        <v>0</v>
      </c>
      <c r="O26" s="56">
        <v>0</v>
      </c>
      <c r="P26" s="62">
        <f t="shared" si="57"/>
        <v>0</v>
      </c>
      <c r="Q26" s="56">
        <v>0</v>
      </c>
      <c r="R26" s="56">
        <v>0</v>
      </c>
      <c r="S26" s="56">
        <v>0</v>
      </c>
      <c r="T26" s="56">
        <v>0</v>
      </c>
      <c r="U26" s="62">
        <f t="shared" si="52"/>
        <v>0</v>
      </c>
      <c r="V26" s="56">
        <v>-42988</v>
      </c>
      <c r="W26" s="56">
        <v>0</v>
      </c>
      <c r="X26" s="56">
        <v>0</v>
      </c>
      <c r="Y26" s="56">
        <v>0</v>
      </c>
      <c r="Z26" s="62">
        <f t="shared" si="53"/>
        <v>-42988</v>
      </c>
      <c r="AA26" s="56">
        <v>0</v>
      </c>
      <c r="AB26" s="56">
        <v>0</v>
      </c>
      <c r="AC26" s="56">
        <v>0</v>
      </c>
      <c r="AD26" s="56">
        <v>0</v>
      </c>
      <c r="AE26" s="62">
        <f t="shared" si="54"/>
        <v>0</v>
      </c>
      <c r="AF26" s="56">
        <v>-14165</v>
      </c>
      <c r="AG26" s="56">
        <v>0</v>
      </c>
      <c r="AH26" s="56">
        <v>0</v>
      </c>
      <c r="AI26" s="56">
        <v>0</v>
      </c>
      <c r="AJ26" s="62">
        <f t="shared" si="58"/>
        <v>-14165</v>
      </c>
    </row>
    <row r="27" spans="1:36" s="2" customFormat="1" ht="12.75" x14ac:dyDescent="0.2">
      <c r="A27" s="1" t="s">
        <v>82</v>
      </c>
      <c r="B27" s="56">
        <f>'Income Statements'!B23</f>
        <v>-2096</v>
      </c>
      <c r="C27" s="56">
        <f>'Income Statements'!C23</f>
        <v>-2473</v>
      </c>
      <c r="D27" s="56">
        <f>'Income Statements'!D23</f>
        <v>-2285</v>
      </c>
      <c r="E27" s="56">
        <f>'Income Statements'!E23</f>
        <v>-2285</v>
      </c>
      <c r="F27" s="62">
        <f t="shared" si="48"/>
        <v>-9139</v>
      </c>
      <c r="G27" s="56">
        <f>'Income Statements'!G23</f>
        <v>-1906</v>
      </c>
      <c r="H27" s="56">
        <f>'Income Statements'!H23</f>
        <v>-1286</v>
      </c>
      <c r="I27" s="56">
        <f>'Income Statements'!I23</f>
        <v>-1596</v>
      </c>
      <c r="J27" s="56">
        <f>'Income Statements'!J23</f>
        <v>-1596</v>
      </c>
      <c r="K27" s="62">
        <f t="shared" si="50"/>
        <v>-6384</v>
      </c>
      <c r="L27" s="56">
        <v>-1857</v>
      </c>
      <c r="M27" s="56">
        <v>-1908</v>
      </c>
      <c r="N27" s="56">
        <v>-1942</v>
      </c>
      <c r="O27" s="56">
        <v>-1941</v>
      </c>
      <c r="P27" s="62">
        <f t="shared" si="51"/>
        <v>-7648</v>
      </c>
      <c r="Q27" s="56">
        <v>-980</v>
      </c>
      <c r="R27" s="56">
        <v>-889</v>
      </c>
      <c r="S27" s="56">
        <v>-935</v>
      </c>
      <c r="T27" s="56">
        <v>-935</v>
      </c>
      <c r="U27" s="62">
        <f t="shared" si="52"/>
        <v>-3739</v>
      </c>
      <c r="V27" s="56">
        <v>-3635</v>
      </c>
      <c r="W27" s="56">
        <v>-3478</v>
      </c>
      <c r="X27" s="56">
        <v>-3557</v>
      </c>
      <c r="Y27" s="56">
        <v>-3556</v>
      </c>
      <c r="Z27" s="62">
        <f t="shared" si="53"/>
        <v>-14226</v>
      </c>
      <c r="AA27" s="56">
        <v>-3414</v>
      </c>
      <c r="AB27" s="56">
        <v>-3271</v>
      </c>
      <c r="AC27" s="56">
        <v>-3271</v>
      </c>
      <c r="AD27" s="56">
        <v>-3271</v>
      </c>
      <c r="AE27" s="62">
        <f t="shared" si="54"/>
        <v>-13227</v>
      </c>
      <c r="AF27" s="56">
        <v>-1929</v>
      </c>
      <c r="AG27" s="56">
        <v>-1809</v>
      </c>
      <c r="AH27" s="56">
        <v>-1808</v>
      </c>
      <c r="AI27" s="56">
        <v>-2592</v>
      </c>
      <c r="AJ27" s="62">
        <f t="shared" si="58"/>
        <v>-8138</v>
      </c>
    </row>
    <row r="28" spans="1:36" s="2" customFormat="1" ht="12.75" x14ac:dyDescent="0.2">
      <c r="A28" s="1" t="s">
        <v>5</v>
      </c>
      <c r="B28" s="56">
        <v>0</v>
      </c>
      <c r="C28" s="56">
        <v>-48522</v>
      </c>
      <c r="D28" s="56">
        <v>0</v>
      </c>
      <c r="E28" s="56">
        <v>0</v>
      </c>
      <c r="F28" s="62">
        <f t="shared" si="48"/>
        <v>-48522</v>
      </c>
      <c r="G28" s="56">
        <v>0</v>
      </c>
      <c r="H28" s="56">
        <v>0</v>
      </c>
      <c r="I28" s="56">
        <v>0</v>
      </c>
      <c r="J28" s="56">
        <v>0</v>
      </c>
      <c r="K28" s="62">
        <f t="shared" si="50"/>
        <v>0</v>
      </c>
      <c r="L28" s="56">
        <v>0</v>
      </c>
      <c r="M28" s="56">
        <v>0</v>
      </c>
      <c r="N28" s="56">
        <v>0</v>
      </c>
      <c r="O28" s="56">
        <v>0</v>
      </c>
      <c r="P28" s="62">
        <f t="shared" si="51"/>
        <v>0</v>
      </c>
      <c r="Q28" s="56">
        <v>0</v>
      </c>
      <c r="R28" s="56">
        <v>0</v>
      </c>
      <c r="S28" s="56">
        <v>0</v>
      </c>
      <c r="T28" s="56">
        <v>0</v>
      </c>
      <c r="U28" s="62">
        <f t="shared" si="52"/>
        <v>0</v>
      </c>
      <c r="V28" s="56">
        <v>0</v>
      </c>
      <c r="W28" s="56">
        <v>0</v>
      </c>
      <c r="X28" s="56">
        <v>0</v>
      </c>
      <c r="Y28" s="56">
        <v>0</v>
      </c>
      <c r="Z28" s="62">
        <f t="shared" si="53"/>
        <v>0</v>
      </c>
      <c r="AA28" s="56">
        <v>0</v>
      </c>
      <c r="AB28" s="56">
        <v>0</v>
      </c>
      <c r="AC28" s="56">
        <v>0</v>
      </c>
      <c r="AD28" s="56">
        <v>0</v>
      </c>
      <c r="AE28" s="62">
        <f t="shared" si="54"/>
        <v>0</v>
      </c>
      <c r="AF28" s="56">
        <v>0</v>
      </c>
      <c r="AG28" s="56">
        <v>0</v>
      </c>
      <c r="AH28" s="56">
        <v>0</v>
      </c>
      <c r="AI28" s="56">
        <v>0</v>
      </c>
      <c r="AJ28" s="62">
        <f t="shared" si="58"/>
        <v>0</v>
      </c>
    </row>
    <row r="29" spans="1:36" s="2" customFormat="1" ht="12.75" x14ac:dyDescent="0.2">
      <c r="A29" s="1" t="s">
        <v>178</v>
      </c>
      <c r="B29" s="56">
        <f>-'Income Statements'!B56</f>
        <v>1</v>
      </c>
      <c r="C29" s="56">
        <f>-'Income Statements'!C56</f>
        <v>4</v>
      </c>
      <c r="D29" s="56">
        <f>-'Income Statements'!D56</f>
        <v>0</v>
      </c>
      <c r="E29" s="56">
        <f>-'Income Statements'!E56</f>
        <v>1</v>
      </c>
      <c r="F29" s="62">
        <f t="shared" si="48"/>
        <v>6</v>
      </c>
      <c r="G29" s="56">
        <v>14</v>
      </c>
      <c r="H29" s="56">
        <v>-30</v>
      </c>
      <c r="I29" s="56">
        <v>0</v>
      </c>
      <c r="J29" s="56">
        <f>-204+16</f>
        <v>-188</v>
      </c>
      <c r="K29" s="62">
        <f t="shared" si="50"/>
        <v>-204</v>
      </c>
      <c r="L29" s="56">
        <v>4</v>
      </c>
      <c r="M29" s="56">
        <v>-3</v>
      </c>
      <c r="N29" s="56">
        <v>-12</v>
      </c>
      <c r="O29" s="56">
        <v>-714</v>
      </c>
      <c r="P29" s="62">
        <f t="shared" si="51"/>
        <v>-725</v>
      </c>
      <c r="Q29" s="56">
        <v>32</v>
      </c>
      <c r="R29" s="56">
        <v>30</v>
      </c>
      <c r="S29" s="56">
        <v>198</v>
      </c>
      <c r="T29" s="56">
        <v>-1125</v>
      </c>
      <c r="U29" s="62">
        <f t="shared" si="52"/>
        <v>-865</v>
      </c>
      <c r="V29" s="56">
        <v>192</v>
      </c>
      <c r="W29" s="56">
        <v>-7</v>
      </c>
      <c r="X29" s="56">
        <v>11</v>
      </c>
      <c r="Y29" s="56">
        <v>-185</v>
      </c>
      <c r="Z29" s="62">
        <f t="shared" si="53"/>
        <v>11</v>
      </c>
      <c r="AA29" s="56">
        <v>-34</v>
      </c>
      <c r="AB29" s="56">
        <v>-527</v>
      </c>
      <c r="AC29" s="56">
        <v>-1139</v>
      </c>
      <c r="AD29" s="56">
        <v>-21</v>
      </c>
      <c r="AE29" s="62">
        <f t="shared" si="54"/>
        <v>-1721</v>
      </c>
      <c r="AF29" s="56">
        <v>3</v>
      </c>
      <c r="AG29" s="56">
        <v>13</v>
      </c>
      <c r="AH29" s="56">
        <v>23</v>
      </c>
      <c r="AI29" s="56">
        <v>-121</v>
      </c>
      <c r="AJ29" s="62">
        <f t="shared" si="58"/>
        <v>-82</v>
      </c>
    </row>
    <row r="30" spans="1:36" s="2" customFormat="1" ht="12.75" x14ac:dyDescent="0.2">
      <c r="A30" s="1" t="s">
        <v>139</v>
      </c>
      <c r="B30" s="56">
        <v>0</v>
      </c>
      <c r="C30" s="56">
        <v>0</v>
      </c>
      <c r="D30" s="56">
        <v>0</v>
      </c>
      <c r="E30" s="56">
        <v>0</v>
      </c>
      <c r="F30" s="62">
        <f t="shared" si="48"/>
        <v>0</v>
      </c>
      <c r="G30" s="56">
        <v>0</v>
      </c>
      <c r="H30" s="56">
        <v>0</v>
      </c>
      <c r="I30" s="56">
        <v>0</v>
      </c>
      <c r="J30" s="56">
        <v>0</v>
      </c>
      <c r="K30" s="62">
        <f t="shared" si="50"/>
        <v>0</v>
      </c>
      <c r="L30" s="56">
        <v>0</v>
      </c>
      <c r="M30" s="56">
        <v>0</v>
      </c>
      <c r="N30" s="56">
        <v>0</v>
      </c>
      <c r="O30" s="56">
        <v>0</v>
      </c>
      <c r="P30" s="62">
        <f t="shared" si="51"/>
        <v>0</v>
      </c>
      <c r="Q30" s="56">
        <v>9176</v>
      </c>
      <c r="R30" s="56">
        <v>0</v>
      </c>
      <c r="S30" s="56">
        <v>0</v>
      </c>
      <c r="T30" s="56">
        <v>0</v>
      </c>
      <c r="U30" s="62">
        <f t="shared" ref="U30" si="59">SUM(Q30:T30)</f>
        <v>9176</v>
      </c>
      <c r="V30" s="56">
        <v>0</v>
      </c>
      <c r="W30" s="56">
        <v>0</v>
      </c>
      <c r="X30" s="56">
        <v>0</v>
      </c>
      <c r="Y30" s="56">
        <v>0</v>
      </c>
      <c r="Z30" s="62">
        <f t="shared" ref="Z30" si="60">SUM(V30:Y30)</f>
        <v>0</v>
      </c>
      <c r="AA30" s="56">
        <v>0</v>
      </c>
      <c r="AB30" s="56">
        <v>0</v>
      </c>
      <c r="AC30" s="56">
        <v>0</v>
      </c>
      <c r="AD30" s="56">
        <v>0</v>
      </c>
      <c r="AE30" s="62">
        <f t="shared" si="54"/>
        <v>0</v>
      </c>
      <c r="AF30" s="56">
        <v>0</v>
      </c>
      <c r="AG30" s="56">
        <v>0</v>
      </c>
      <c r="AH30" s="56">
        <v>0</v>
      </c>
      <c r="AI30" s="56">
        <v>0</v>
      </c>
      <c r="AJ30" s="62">
        <f t="shared" si="58"/>
        <v>0</v>
      </c>
    </row>
    <row r="31" spans="1:36" s="2" customFormat="1" ht="12.75" x14ac:dyDescent="0.2">
      <c r="A31" s="1" t="s">
        <v>198</v>
      </c>
      <c r="B31" s="56">
        <v>0</v>
      </c>
      <c r="C31" s="56">
        <v>0</v>
      </c>
      <c r="D31" s="56">
        <v>0</v>
      </c>
      <c r="E31" s="56">
        <v>0</v>
      </c>
      <c r="F31" s="62">
        <f t="shared" ref="F31" si="61">SUM(B31:E31)</f>
        <v>0</v>
      </c>
      <c r="G31" s="56">
        <v>0</v>
      </c>
      <c r="H31" s="56">
        <v>0</v>
      </c>
      <c r="I31" s="56">
        <v>0</v>
      </c>
      <c r="J31" s="56">
        <v>0</v>
      </c>
      <c r="K31" s="62">
        <f t="shared" ref="K31" si="62">SUM(G31:J31)</f>
        <v>0</v>
      </c>
      <c r="L31" s="56">
        <v>0</v>
      </c>
      <c r="M31" s="56">
        <v>0</v>
      </c>
      <c r="N31" s="56">
        <v>0</v>
      </c>
      <c r="O31" s="56">
        <v>0</v>
      </c>
      <c r="P31" s="62">
        <f t="shared" ref="P31" si="63">SUM(L31:O31)</f>
        <v>0</v>
      </c>
      <c r="Q31" s="56">
        <v>0</v>
      </c>
      <c r="R31" s="56">
        <v>0</v>
      </c>
      <c r="S31" s="56">
        <v>0</v>
      </c>
      <c r="T31" s="56">
        <v>0</v>
      </c>
      <c r="U31" s="62">
        <f t="shared" si="52"/>
        <v>0</v>
      </c>
      <c r="V31" s="56">
        <v>0</v>
      </c>
      <c r="W31" s="56">
        <v>0</v>
      </c>
      <c r="X31" s="56">
        <v>0</v>
      </c>
      <c r="Y31" s="56">
        <v>0</v>
      </c>
      <c r="Z31" s="62">
        <f t="shared" si="53"/>
        <v>0</v>
      </c>
      <c r="AA31" s="56">
        <v>0</v>
      </c>
      <c r="AB31" s="56">
        <v>0</v>
      </c>
      <c r="AC31" s="56">
        <v>4394</v>
      </c>
      <c r="AD31" s="56">
        <v>-1033</v>
      </c>
      <c r="AE31" s="62">
        <f t="shared" si="54"/>
        <v>3361</v>
      </c>
      <c r="AF31" s="56">
        <v>-276</v>
      </c>
      <c r="AG31" s="56">
        <v>9868</v>
      </c>
      <c r="AH31" s="56">
        <v>24913</v>
      </c>
      <c r="AI31" s="56">
        <v>0</v>
      </c>
      <c r="AJ31" s="62">
        <f t="shared" si="58"/>
        <v>34505</v>
      </c>
    </row>
    <row r="32" spans="1:36" s="2" customFormat="1" ht="12.75" x14ac:dyDescent="0.2">
      <c r="A32" s="1" t="s">
        <v>105</v>
      </c>
      <c r="B32" s="56">
        <v>0</v>
      </c>
      <c r="C32" s="56">
        <v>0</v>
      </c>
      <c r="D32" s="56">
        <v>0</v>
      </c>
      <c r="E32" s="56">
        <v>0</v>
      </c>
      <c r="F32" s="62">
        <f t="shared" si="48"/>
        <v>0</v>
      </c>
      <c r="G32" s="56">
        <v>0</v>
      </c>
      <c r="H32" s="56">
        <v>3265</v>
      </c>
      <c r="I32" s="56">
        <v>-3066</v>
      </c>
      <c r="J32" s="56">
        <f>0-199</f>
        <v>-199</v>
      </c>
      <c r="K32" s="62">
        <f t="shared" si="50"/>
        <v>0</v>
      </c>
      <c r="L32" s="56">
        <v>0</v>
      </c>
      <c r="M32" s="56">
        <v>0</v>
      </c>
      <c r="N32" s="56">
        <v>0</v>
      </c>
      <c r="O32" s="56">
        <v>0</v>
      </c>
      <c r="P32" s="62">
        <f t="shared" si="51"/>
        <v>0</v>
      </c>
      <c r="Q32" s="56">
        <v>0</v>
      </c>
      <c r="R32" s="56">
        <v>0</v>
      </c>
      <c r="S32" s="56">
        <v>0</v>
      </c>
      <c r="T32" s="56">
        <v>0</v>
      </c>
      <c r="U32" s="62">
        <f t="shared" si="52"/>
        <v>0</v>
      </c>
      <c r="V32" s="56">
        <v>0</v>
      </c>
      <c r="W32" s="56">
        <v>0</v>
      </c>
      <c r="X32" s="56">
        <v>0</v>
      </c>
      <c r="Y32" s="56">
        <v>0</v>
      </c>
      <c r="Z32" s="62">
        <f t="shared" si="53"/>
        <v>0</v>
      </c>
      <c r="AA32" s="56">
        <v>0</v>
      </c>
      <c r="AB32" s="56">
        <v>0</v>
      </c>
      <c r="AC32" s="56">
        <v>0</v>
      </c>
      <c r="AD32" s="56">
        <v>0</v>
      </c>
      <c r="AE32" s="62">
        <f t="shared" si="54"/>
        <v>0</v>
      </c>
      <c r="AF32" s="56">
        <v>0</v>
      </c>
      <c r="AG32" s="56">
        <v>0</v>
      </c>
      <c r="AH32" s="56">
        <v>0</v>
      </c>
      <c r="AI32" s="56">
        <v>0</v>
      </c>
      <c r="AJ32" s="62">
        <f t="shared" si="58"/>
        <v>0</v>
      </c>
    </row>
    <row r="33" spans="1:36" s="2" customFormat="1" ht="12.75" x14ac:dyDescent="0.2">
      <c r="A33" s="1" t="s">
        <v>92</v>
      </c>
      <c r="B33" s="56">
        <v>0</v>
      </c>
      <c r="C33" s="56">
        <v>0</v>
      </c>
      <c r="D33" s="56">
        <v>0</v>
      </c>
      <c r="E33" s="56">
        <v>0</v>
      </c>
      <c r="F33" s="62">
        <f t="shared" si="48"/>
        <v>0</v>
      </c>
      <c r="G33" s="56">
        <v>0</v>
      </c>
      <c r="H33" s="56">
        <v>0</v>
      </c>
      <c r="I33" s="56">
        <v>0</v>
      </c>
      <c r="J33" s="56">
        <v>0</v>
      </c>
      <c r="K33" s="62">
        <f t="shared" si="50"/>
        <v>0</v>
      </c>
      <c r="L33" s="56">
        <v>-1849</v>
      </c>
      <c r="M33" s="56">
        <v>0</v>
      </c>
      <c r="N33" s="56">
        <v>0</v>
      </c>
      <c r="O33" s="56">
        <v>0</v>
      </c>
      <c r="P33" s="62">
        <f t="shared" si="51"/>
        <v>-1849</v>
      </c>
      <c r="Q33" s="56">
        <v>0</v>
      </c>
      <c r="R33" s="56">
        <v>0</v>
      </c>
      <c r="S33" s="56">
        <v>0</v>
      </c>
      <c r="T33" s="56">
        <v>0</v>
      </c>
      <c r="U33" s="62">
        <f t="shared" si="52"/>
        <v>0</v>
      </c>
      <c r="V33" s="56">
        <v>0</v>
      </c>
      <c r="W33" s="56">
        <v>0</v>
      </c>
      <c r="X33" s="56">
        <v>0</v>
      </c>
      <c r="Y33" s="56">
        <v>0</v>
      </c>
      <c r="Z33" s="62">
        <f t="shared" si="53"/>
        <v>0</v>
      </c>
      <c r="AA33" s="56">
        <v>0</v>
      </c>
      <c r="AB33" s="56">
        <v>0</v>
      </c>
      <c r="AC33" s="56">
        <v>0</v>
      </c>
      <c r="AD33" s="56">
        <v>0</v>
      </c>
      <c r="AE33" s="62">
        <f t="shared" si="54"/>
        <v>0</v>
      </c>
      <c r="AF33" s="56">
        <v>0</v>
      </c>
      <c r="AG33" s="56">
        <v>0</v>
      </c>
      <c r="AH33" s="56">
        <v>0</v>
      </c>
      <c r="AI33" s="56">
        <v>0</v>
      </c>
      <c r="AJ33" s="62">
        <f t="shared" si="58"/>
        <v>0</v>
      </c>
    </row>
    <row r="34" spans="1:36" s="2" customFormat="1" ht="12.75" x14ac:dyDescent="0.2">
      <c r="A34" s="1" t="s">
        <v>209</v>
      </c>
      <c r="B34" s="56">
        <v>-220</v>
      </c>
      <c r="C34" s="56">
        <v>-802</v>
      </c>
      <c r="D34" s="56">
        <v>0</v>
      </c>
      <c r="E34" s="56">
        <v>0</v>
      </c>
      <c r="F34" s="62">
        <f t="shared" si="48"/>
        <v>-1022</v>
      </c>
      <c r="G34" s="56">
        <v>0</v>
      </c>
      <c r="H34" s="56">
        <v>0</v>
      </c>
      <c r="I34" s="56">
        <v>-4978</v>
      </c>
      <c r="J34" s="56">
        <v>0</v>
      </c>
      <c r="K34" s="62">
        <f t="shared" si="50"/>
        <v>-4978</v>
      </c>
      <c r="L34" s="56">
        <v>0</v>
      </c>
      <c r="M34" s="56">
        <v>0</v>
      </c>
      <c r="N34" s="56">
        <v>0</v>
      </c>
      <c r="O34" s="56">
        <v>0</v>
      </c>
      <c r="P34" s="62">
        <f t="shared" si="51"/>
        <v>0</v>
      </c>
      <c r="Q34" s="56">
        <v>0</v>
      </c>
      <c r="R34" s="56">
        <v>0</v>
      </c>
      <c r="S34" s="56">
        <v>0</v>
      </c>
      <c r="T34" s="56">
        <v>0</v>
      </c>
      <c r="U34" s="62">
        <f t="shared" si="52"/>
        <v>0</v>
      </c>
      <c r="V34" s="56">
        <v>0</v>
      </c>
      <c r="W34" s="56">
        <v>0</v>
      </c>
      <c r="X34" s="56">
        <v>0</v>
      </c>
      <c r="Y34" s="56">
        <v>0</v>
      </c>
      <c r="Z34" s="62">
        <f t="shared" si="53"/>
        <v>0</v>
      </c>
      <c r="AA34" s="56">
        <v>0</v>
      </c>
      <c r="AB34" s="56">
        <v>0</v>
      </c>
      <c r="AC34" s="56">
        <v>0</v>
      </c>
      <c r="AD34" s="56">
        <v>0</v>
      </c>
      <c r="AE34" s="62">
        <f t="shared" si="54"/>
        <v>0</v>
      </c>
      <c r="AF34" s="56">
        <v>0</v>
      </c>
      <c r="AG34" s="56">
        <v>0</v>
      </c>
      <c r="AH34" s="56">
        <v>0</v>
      </c>
      <c r="AI34" s="56">
        <v>-5550</v>
      </c>
      <c r="AJ34" s="62">
        <f t="shared" si="58"/>
        <v>-5550</v>
      </c>
    </row>
    <row r="35" spans="1:36" s="2" customFormat="1" ht="12.75" x14ac:dyDescent="0.2">
      <c r="A35" s="1" t="s">
        <v>4</v>
      </c>
      <c r="B35" s="56">
        <v>0</v>
      </c>
      <c r="C35" s="56">
        <v>0</v>
      </c>
      <c r="D35" s="56">
        <v>0</v>
      </c>
      <c r="E35" s="56">
        <v>0</v>
      </c>
      <c r="F35" s="62">
        <f t="shared" si="48"/>
        <v>0</v>
      </c>
      <c r="G35" s="56">
        <v>0</v>
      </c>
      <c r="H35" s="56">
        <v>0</v>
      </c>
      <c r="I35" s="56">
        <v>-27</v>
      </c>
      <c r="J35" s="56">
        <f>-3409+27</f>
        <v>-3382</v>
      </c>
      <c r="K35" s="62">
        <f t="shared" si="50"/>
        <v>-3409</v>
      </c>
      <c r="L35" s="56">
        <v>-19255</v>
      </c>
      <c r="M35" s="56">
        <v>-1018</v>
      </c>
      <c r="N35" s="56">
        <v>-972</v>
      </c>
      <c r="O35" s="56">
        <v>-874</v>
      </c>
      <c r="P35" s="62">
        <f t="shared" si="51"/>
        <v>-22119</v>
      </c>
      <c r="Q35" s="56">
        <v>0</v>
      </c>
      <c r="R35" s="56">
        <v>0</v>
      </c>
      <c r="S35" s="56">
        <v>0</v>
      </c>
      <c r="T35" s="56">
        <v>0</v>
      </c>
      <c r="U35" s="62">
        <f t="shared" si="52"/>
        <v>0</v>
      </c>
      <c r="V35" s="56">
        <v>0</v>
      </c>
      <c r="W35" s="56">
        <v>0</v>
      </c>
      <c r="X35" s="56">
        <v>0</v>
      </c>
      <c r="Y35" s="56">
        <v>0</v>
      </c>
      <c r="Z35" s="62">
        <f t="shared" si="53"/>
        <v>0</v>
      </c>
      <c r="AA35" s="56">
        <v>0</v>
      </c>
      <c r="AB35" s="56">
        <v>0</v>
      </c>
      <c r="AC35" s="56">
        <v>0</v>
      </c>
      <c r="AD35" s="56">
        <v>0</v>
      </c>
      <c r="AE35" s="62">
        <f t="shared" si="54"/>
        <v>0</v>
      </c>
      <c r="AF35" s="56">
        <v>0</v>
      </c>
      <c r="AG35" s="56">
        <v>0</v>
      </c>
      <c r="AH35" s="56">
        <v>0</v>
      </c>
      <c r="AI35" s="56">
        <v>0</v>
      </c>
      <c r="AJ35" s="62">
        <f t="shared" si="58"/>
        <v>0</v>
      </c>
    </row>
    <row r="36" spans="1:36" s="2" customFormat="1" ht="12.75" x14ac:dyDescent="0.2">
      <c r="A36" s="1" t="s">
        <v>200</v>
      </c>
      <c r="B36" s="56"/>
      <c r="C36" s="56"/>
      <c r="D36" s="56"/>
      <c r="E36" s="56"/>
      <c r="F36" s="62"/>
      <c r="G36" s="56"/>
      <c r="H36" s="56"/>
      <c r="I36" s="56"/>
      <c r="J36" s="56"/>
      <c r="K36" s="62"/>
      <c r="L36" s="56"/>
      <c r="M36" s="56"/>
      <c r="N36" s="56"/>
      <c r="O36" s="56"/>
      <c r="P36" s="62"/>
      <c r="Q36" s="56"/>
      <c r="R36" s="56"/>
      <c r="S36" s="56"/>
      <c r="T36" s="56"/>
      <c r="U36" s="62"/>
      <c r="V36" s="56"/>
      <c r="W36" s="56"/>
      <c r="X36" s="56"/>
      <c r="Y36" s="56"/>
      <c r="Z36" s="62"/>
      <c r="AA36" s="56">
        <v>0</v>
      </c>
      <c r="AB36" s="56">
        <v>0</v>
      </c>
      <c r="AC36" s="56">
        <v>0</v>
      </c>
      <c r="AD36" s="56">
        <v>0</v>
      </c>
      <c r="AE36" s="62">
        <v>0</v>
      </c>
      <c r="AF36" s="56">
        <v>0</v>
      </c>
      <c r="AG36" s="56">
        <v>0</v>
      </c>
      <c r="AH36" s="56">
        <v>-1</v>
      </c>
      <c r="AI36" s="56">
        <v>-66</v>
      </c>
      <c r="AJ36" s="62">
        <f t="shared" si="58"/>
        <v>-67</v>
      </c>
    </row>
    <row r="37" spans="1:36" s="2" customFormat="1" ht="13.5" thickBot="1" x14ac:dyDescent="0.25">
      <c r="A37" s="1" t="s">
        <v>124</v>
      </c>
      <c r="B37" s="44">
        <f t="shared" ref="B37:AG37" si="64">SUM(B20:B35)</f>
        <v>-953</v>
      </c>
      <c r="C37" s="44">
        <f t="shared" si="64"/>
        <v>-42434</v>
      </c>
      <c r="D37" s="44">
        <f t="shared" si="64"/>
        <v>31208</v>
      </c>
      <c r="E37" s="44">
        <f t="shared" si="64"/>
        <v>18792</v>
      </c>
      <c r="F37" s="48">
        <f t="shared" si="64"/>
        <v>6613</v>
      </c>
      <c r="G37" s="44">
        <f t="shared" si="64"/>
        <v>18939</v>
      </c>
      <c r="H37" s="44">
        <f t="shared" si="64"/>
        <v>33425</v>
      </c>
      <c r="I37" s="44">
        <f t="shared" si="64"/>
        <v>36457</v>
      </c>
      <c r="J37" s="44">
        <f t="shared" si="64"/>
        <v>29653</v>
      </c>
      <c r="K37" s="48">
        <f t="shared" si="64"/>
        <v>118474</v>
      </c>
      <c r="L37" s="44">
        <f t="shared" si="64"/>
        <v>20314</v>
      </c>
      <c r="M37" s="44">
        <f t="shared" si="64"/>
        <v>58153</v>
      </c>
      <c r="N37" s="44">
        <f t="shared" si="64"/>
        <v>65691</v>
      </c>
      <c r="O37" s="44">
        <f t="shared" si="64"/>
        <v>-2079</v>
      </c>
      <c r="P37" s="48">
        <f t="shared" si="64"/>
        <v>142079</v>
      </c>
      <c r="Q37" s="44">
        <f t="shared" si="64"/>
        <v>8151</v>
      </c>
      <c r="R37" s="44">
        <f t="shared" si="64"/>
        <v>16185</v>
      </c>
      <c r="S37" s="44">
        <f t="shared" si="64"/>
        <v>21786</v>
      </c>
      <c r="T37" s="44">
        <f t="shared" si="64"/>
        <v>10549</v>
      </c>
      <c r="U37" s="48">
        <f t="shared" si="64"/>
        <v>56671</v>
      </c>
      <c r="V37" s="44">
        <f t="shared" si="64"/>
        <v>-27694</v>
      </c>
      <c r="W37" s="44">
        <f t="shared" si="64"/>
        <v>3091</v>
      </c>
      <c r="X37" s="44">
        <f t="shared" si="64"/>
        <v>97847</v>
      </c>
      <c r="Y37" s="44">
        <f t="shared" si="64"/>
        <v>120709</v>
      </c>
      <c r="Z37" s="48">
        <f t="shared" si="64"/>
        <v>193953</v>
      </c>
      <c r="AA37" s="44">
        <f t="shared" si="64"/>
        <v>161145</v>
      </c>
      <c r="AB37" s="44">
        <f t="shared" si="64"/>
        <v>238745</v>
      </c>
      <c r="AC37" s="44">
        <f t="shared" si="64"/>
        <v>70698</v>
      </c>
      <c r="AD37" s="44">
        <f t="shared" si="64"/>
        <v>38428</v>
      </c>
      <c r="AE37" s="48">
        <f t="shared" si="64"/>
        <v>509016</v>
      </c>
      <c r="AF37" s="44">
        <f t="shared" si="64"/>
        <v>195945</v>
      </c>
      <c r="AG37" s="44">
        <f t="shared" si="64"/>
        <v>148491</v>
      </c>
      <c r="AH37" s="44">
        <f>SUM(AH20:AH36)</f>
        <v>55756</v>
      </c>
      <c r="AI37" s="44">
        <f>SUM(AI20:AI36)</f>
        <v>-880</v>
      </c>
      <c r="AJ37" s="48">
        <f>SUM(AJ20:AJ36)</f>
        <v>399312</v>
      </c>
    </row>
    <row r="38" spans="1:36" s="2" customFormat="1" ht="13.5" thickTop="1" x14ac:dyDescent="0.2">
      <c r="A38" s="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s="2" customFormat="1" ht="12.75" x14ac:dyDescent="0.2">
      <c r="A39" s="53" t="s">
        <v>83</v>
      </c>
      <c r="B39" s="59"/>
      <c r="C39" s="59"/>
      <c r="D39" s="59"/>
      <c r="E39" s="59"/>
      <c r="F39" s="64"/>
      <c r="G39" s="3"/>
      <c r="H39" s="3"/>
      <c r="I39" s="3"/>
      <c r="J39" s="3"/>
      <c r="K39" s="64"/>
      <c r="L39" s="3"/>
      <c r="M39" s="3"/>
      <c r="N39" s="3"/>
      <c r="O39" s="3"/>
      <c r="P39" s="64"/>
      <c r="Q39" s="3"/>
      <c r="R39" s="3"/>
      <c r="S39" s="3"/>
      <c r="T39" s="3"/>
      <c r="U39" s="64"/>
      <c r="V39" s="3"/>
      <c r="W39" s="3"/>
      <c r="X39" s="3"/>
      <c r="Y39" s="3"/>
      <c r="Z39" s="64"/>
      <c r="AA39" s="3"/>
      <c r="AB39" s="3"/>
      <c r="AC39" s="3"/>
      <c r="AD39" s="3"/>
      <c r="AE39" s="64"/>
      <c r="AF39" s="3"/>
      <c r="AG39" s="3"/>
      <c r="AH39" s="3"/>
      <c r="AI39" s="3"/>
      <c r="AJ39" s="64"/>
    </row>
    <row r="40" spans="1:36" s="2" customFormat="1" ht="12.75" x14ac:dyDescent="0.2">
      <c r="A40" s="4" t="s">
        <v>151</v>
      </c>
      <c r="B40" s="11">
        <v>6128</v>
      </c>
      <c r="C40" s="11">
        <v>5387</v>
      </c>
      <c r="D40" s="11">
        <v>6456</v>
      </c>
      <c r="E40" s="11">
        <v>6119</v>
      </c>
      <c r="F40" s="26">
        <f t="shared" ref="F40:F42" si="65">SUM(B40:E40)</f>
        <v>24090</v>
      </c>
      <c r="G40" s="11">
        <v>4384</v>
      </c>
      <c r="H40" s="11">
        <v>4274</v>
      </c>
      <c r="I40" s="11">
        <v>6207</v>
      </c>
      <c r="J40" s="11">
        <v>5611</v>
      </c>
      <c r="K40" s="26">
        <f t="shared" ref="K40:K42" si="66">SUM(G40:J40)</f>
        <v>20476</v>
      </c>
      <c r="L40" s="11">
        <v>8646</v>
      </c>
      <c r="M40" s="11">
        <v>14598</v>
      </c>
      <c r="N40" s="11">
        <v>12730</v>
      </c>
      <c r="O40" s="11">
        <v>12227</v>
      </c>
      <c r="P40" s="26">
        <f t="shared" ref="P40:P42" si="67">SUM(L40:O40)</f>
        <v>48201</v>
      </c>
      <c r="Q40" s="11">
        <v>10265</v>
      </c>
      <c r="R40" s="11">
        <v>10469</v>
      </c>
      <c r="S40" s="11">
        <v>12627</v>
      </c>
      <c r="T40" s="11">
        <v>13240</v>
      </c>
      <c r="U40" s="26">
        <f t="shared" ref="U40:U42" si="68">SUM(Q40:T40)</f>
        <v>46601</v>
      </c>
      <c r="V40" s="11">
        <v>12591</v>
      </c>
      <c r="W40" s="11">
        <v>11566</v>
      </c>
      <c r="X40" s="11">
        <v>13821</v>
      </c>
      <c r="Y40" s="11">
        <v>13069</v>
      </c>
      <c r="Z40" s="26">
        <f t="shared" ref="Z40:Z42" si="69">SUM(V40:Y40)</f>
        <v>51047</v>
      </c>
      <c r="AA40" s="11">
        <v>11417</v>
      </c>
      <c r="AB40" s="11">
        <v>10482</v>
      </c>
      <c r="AC40" s="11">
        <v>11893</v>
      </c>
      <c r="AD40" s="11">
        <v>11611</v>
      </c>
      <c r="AE40" s="26">
        <f t="shared" ref="AE40:AE42" si="70">SUM(AA40:AD40)</f>
        <v>45403</v>
      </c>
      <c r="AF40" s="11">
        <v>12161</v>
      </c>
      <c r="AG40" s="11">
        <v>11563</v>
      </c>
      <c r="AH40" s="11">
        <v>16963</v>
      </c>
      <c r="AI40" s="11">
        <v>18845</v>
      </c>
      <c r="AJ40" s="26">
        <f t="shared" ref="AJ40:AJ42" si="71">SUM(AF40:AI40)</f>
        <v>59532</v>
      </c>
    </row>
    <row r="41" spans="1:36" s="2" customFormat="1" ht="12.75" x14ac:dyDescent="0.2">
      <c r="A41" s="4" t="s">
        <v>75</v>
      </c>
      <c r="B41" s="5">
        <v>1901</v>
      </c>
      <c r="C41" s="5">
        <v>1800</v>
      </c>
      <c r="D41" s="5">
        <v>1837</v>
      </c>
      <c r="E41" s="5">
        <v>1819</v>
      </c>
      <c r="F41" s="21">
        <f t="shared" si="65"/>
        <v>7357</v>
      </c>
      <c r="G41" s="5">
        <v>1827</v>
      </c>
      <c r="H41" s="5">
        <v>1839</v>
      </c>
      <c r="I41" s="5">
        <v>1821</v>
      </c>
      <c r="J41" s="5">
        <v>1860</v>
      </c>
      <c r="K41" s="21">
        <f t="shared" si="66"/>
        <v>7347</v>
      </c>
      <c r="L41" s="5">
        <v>3354</v>
      </c>
      <c r="M41" s="5">
        <v>6069</v>
      </c>
      <c r="N41" s="5">
        <v>5827</v>
      </c>
      <c r="O41" s="5">
        <v>6166</v>
      </c>
      <c r="P41" s="21">
        <f t="shared" si="67"/>
        <v>21416</v>
      </c>
      <c r="Q41" s="5">
        <v>5042</v>
      </c>
      <c r="R41" s="5">
        <v>5861</v>
      </c>
      <c r="S41" s="5">
        <v>5763</v>
      </c>
      <c r="T41" s="5">
        <v>5393</v>
      </c>
      <c r="U41" s="21">
        <f t="shared" si="68"/>
        <v>22059</v>
      </c>
      <c r="V41" s="5">
        <v>5630</v>
      </c>
      <c r="W41" s="5">
        <v>5798</v>
      </c>
      <c r="X41" s="5">
        <v>5983</v>
      </c>
      <c r="Y41" s="5">
        <v>6200</v>
      </c>
      <c r="Z41" s="21">
        <f t="shared" si="69"/>
        <v>23611</v>
      </c>
      <c r="AA41" s="5">
        <v>6203</v>
      </c>
      <c r="AB41" s="5">
        <v>6179</v>
      </c>
      <c r="AC41" s="5">
        <v>8879</v>
      </c>
      <c r="AD41" s="5">
        <v>7541</v>
      </c>
      <c r="AE41" s="21">
        <f t="shared" si="70"/>
        <v>28802</v>
      </c>
      <c r="AF41" s="5">
        <v>7021</v>
      </c>
      <c r="AG41" s="5">
        <v>8136</v>
      </c>
      <c r="AH41" s="5">
        <v>10069</v>
      </c>
      <c r="AI41" s="5">
        <v>10727</v>
      </c>
      <c r="AJ41" s="21">
        <f t="shared" si="71"/>
        <v>35953</v>
      </c>
    </row>
    <row r="42" spans="1:36" s="2" customFormat="1" ht="12.75" x14ac:dyDescent="0.2">
      <c r="A42" s="4" t="s">
        <v>76</v>
      </c>
      <c r="B42" s="71">
        <v>2</v>
      </c>
      <c r="C42" s="71">
        <v>1</v>
      </c>
      <c r="D42" s="71">
        <v>0</v>
      </c>
      <c r="E42" s="71">
        <v>1</v>
      </c>
      <c r="F42" s="70">
        <f t="shared" si="65"/>
        <v>4</v>
      </c>
      <c r="G42" s="5">
        <v>1</v>
      </c>
      <c r="H42" s="5">
        <v>0</v>
      </c>
      <c r="I42" s="5">
        <v>0</v>
      </c>
      <c r="J42" s="5">
        <v>1</v>
      </c>
      <c r="K42" s="70">
        <f t="shared" si="66"/>
        <v>2</v>
      </c>
      <c r="L42" s="71">
        <v>40</v>
      </c>
      <c r="M42" s="71">
        <v>77</v>
      </c>
      <c r="N42" s="71">
        <v>81</v>
      </c>
      <c r="O42" s="71">
        <v>220</v>
      </c>
      <c r="P42" s="70">
        <f t="shared" si="67"/>
        <v>418</v>
      </c>
      <c r="Q42" s="71">
        <v>209</v>
      </c>
      <c r="R42" s="71">
        <v>147</v>
      </c>
      <c r="S42" s="71">
        <v>152</v>
      </c>
      <c r="T42" s="71">
        <v>170</v>
      </c>
      <c r="U42" s="70">
        <f t="shared" si="68"/>
        <v>678</v>
      </c>
      <c r="V42" s="71">
        <v>160</v>
      </c>
      <c r="W42" s="71">
        <v>156</v>
      </c>
      <c r="X42" s="71">
        <v>149</v>
      </c>
      <c r="Y42" s="71">
        <v>155</v>
      </c>
      <c r="Z42" s="70">
        <f t="shared" si="69"/>
        <v>620</v>
      </c>
      <c r="AA42" s="71">
        <v>155</v>
      </c>
      <c r="AB42" s="71">
        <v>160</v>
      </c>
      <c r="AC42" s="71">
        <v>162</v>
      </c>
      <c r="AD42" s="71">
        <v>163</v>
      </c>
      <c r="AE42" s="70">
        <f t="shared" si="70"/>
        <v>640</v>
      </c>
      <c r="AF42" s="71">
        <v>170</v>
      </c>
      <c r="AG42" s="71">
        <v>173</v>
      </c>
      <c r="AH42" s="71">
        <v>175</v>
      </c>
      <c r="AI42" s="71">
        <v>177</v>
      </c>
      <c r="AJ42" s="70">
        <f t="shared" si="71"/>
        <v>695</v>
      </c>
    </row>
    <row r="43" spans="1:36" s="2" customFormat="1" ht="12.75" x14ac:dyDescent="0.2">
      <c r="A43" s="4" t="s">
        <v>79</v>
      </c>
      <c r="B43" s="5">
        <v>208</v>
      </c>
      <c r="C43" s="5">
        <v>213</v>
      </c>
      <c r="D43" s="5">
        <v>187</v>
      </c>
      <c r="E43" s="5">
        <v>152</v>
      </c>
      <c r="F43" s="21">
        <f>SUM(B43:E43)</f>
        <v>760</v>
      </c>
      <c r="G43" s="5">
        <v>117</v>
      </c>
      <c r="H43" s="5">
        <v>158</v>
      </c>
      <c r="I43" s="5">
        <v>168</v>
      </c>
      <c r="J43" s="5">
        <v>164</v>
      </c>
      <c r="K43" s="21">
        <f>SUM(G43:J43)</f>
        <v>607</v>
      </c>
      <c r="L43" s="5">
        <v>156</v>
      </c>
      <c r="M43" s="5">
        <v>206</v>
      </c>
      <c r="N43" s="5">
        <v>198</v>
      </c>
      <c r="O43" s="5">
        <v>253</v>
      </c>
      <c r="P43" s="21">
        <f>SUM(L43:O43)</f>
        <v>813</v>
      </c>
      <c r="Q43" s="5">
        <v>281</v>
      </c>
      <c r="R43" s="5">
        <v>250</v>
      </c>
      <c r="S43" s="5">
        <v>244</v>
      </c>
      <c r="T43" s="5">
        <v>304</v>
      </c>
      <c r="U43" s="21">
        <f>SUM(Q43:T43)</f>
        <v>1079</v>
      </c>
      <c r="V43" s="5">
        <v>257</v>
      </c>
      <c r="W43" s="5">
        <v>245</v>
      </c>
      <c r="X43" s="5">
        <v>234</v>
      </c>
      <c r="Y43" s="5">
        <v>247</v>
      </c>
      <c r="Z43" s="21">
        <f>SUM(V43:Y43)</f>
        <v>983</v>
      </c>
      <c r="AA43" s="5">
        <v>221</v>
      </c>
      <c r="AB43" s="5">
        <v>208</v>
      </c>
      <c r="AC43" s="5">
        <v>197</v>
      </c>
      <c r="AD43" s="5">
        <v>162</v>
      </c>
      <c r="AE43" s="21">
        <f>SUM(AA43:AD43)</f>
        <v>788</v>
      </c>
      <c r="AF43" s="5">
        <v>150</v>
      </c>
      <c r="AG43" s="5">
        <v>135</v>
      </c>
      <c r="AH43" s="5">
        <v>122</v>
      </c>
      <c r="AI43" s="5">
        <v>113</v>
      </c>
      <c r="AJ43" s="21">
        <f>SUM(AF43:AI43)</f>
        <v>520</v>
      </c>
    </row>
    <row r="44" spans="1:36" s="2" customFormat="1" ht="12.75" x14ac:dyDescent="0.2">
      <c r="A44" s="54"/>
      <c r="B44" s="9">
        <f>SUM(B40:B43)</f>
        <v>8239</v>
      </c>
      <c r="C44" s="9">
        <f t="shared" ref="C44:P44" si="72">SUM(C40:C43)</f>
        <v>7401</v>
      </c>
      <c r="D44" s="9">
        <f t="shared" si="72"/>
        <v>8480</v>
      </c>
      <c r="E44" s="9">
        <f t="shared" si="72"/>
        <v>8091</v>
      </c>
      <c r="F44" s="24">
        <f t="shared" si="72"/>
        <v>32211</v>
      </c>
      <c r="G44" s="9">
        <f t="shared" si="72"/>
        <v>6329</v>
      </c>
      <c r="H44" s="9">
        <f t="shared" si="72"/>
        <v>6271</v>
      </c>
      <c r="I44" s="9">
        <f t="shared" si="72"/>
        <v>8196</v>
      </c>
      <c r="J44" s="9">
        <f t="shared" si="72"/>
        <v>7636</v>
      </c>
      <c r="K44" s="24">
        <f t="shared" si="72"/>
        <v>28432</v>
      </c>
      <c r="L44" s="9">
        <f t="shared" si="72"/>
        <v>12196</v>
      </c>
      <c r="M44" s="9">
        <f t="shared" si="72"/>
        <v>20950</v>
      </c>
      <c r="N44" s="9">
        <f t="shared" si="72"/>
        <v>18836</v>
      </c>
      <c r="O44" s="9">
        <f t="shared" si="72"/>
        <v>18866</v>
      </c>
      <c r="P44" s="24">
        <f t="shared" si="72"/>
        <v>70848</v>
      </c>
      <c r="Q44" s="9">
        <f t="shared" ref="Q44:R44" si="73">SUM(Q40:Q43)</f>
        <v>15797</v>
      </c>
      <c r="R44" s="9">
        <f t="shared" si="73"/>
        <v>16727</v>
      </c>
      <c r="S44" s="9">
        <f t="shared" ref="S44:U44" si="74">SUM(S40:S43)</f>
        <v>18786</v>
      </c>
      <c r="T44" s="9">
        <f t="shared" si="74"/>
        <v>19107</v>
      </c>
      <c r="U44" s="24">
        <f t="shared" si="74"/>
        <v>70417</v>
      </c>
      <c r="V44" s="9">
        <f t="shared" ref="V44:W44" si="75">SUM(V40:V43)</f>
        <v>18638</v>
      </c>
      <c r="W44" s="9">
        <f t="shared" si="75"/>
        <v>17765</v>
      </c>
      <c r="X44" s="9">
        <f t="shared" ref="X44:AA44" si="76">SUM(X40:X43)</f>
        <v>20187</v>
      </c>
      <c r="Y44" s="9">
        <f t="shared" si="76"/>
        <v>19671</v>
      </c>
      <c r="Z44" s="24">
        <f t="shared" si="76"/>
        <v>76261</v>
      </c>
      <c r="AA44" s="9">
        <f t="shared" si="76"/>
        <v>17996</v>
      </c>
      <c r="AB44" s="9">
        <f t="shared" ref="AB44:AC44" si="77">SUM(AB40:AB43)</f>
        <v>17029</v>
      </c>
      <c r="AC44" s="9">
        <f t="shared" si="77"/>
        <v>21131</v>
      </c>
      <c r="AD44" s="9">
        <f t="shared" ref="AD44:AE44" si="78">SUM(AD40:AD43)</f>
        <v>19477</v>
      </c>
      <c r="AE44" s="24">
        <f t="shared" si="78"/>
        <v>75633</v>
      </c>
      <c r="AF44" s="9">
        <f t="shared" ref="AF44:AG44" si="79">SUM(AF40:AF43)</f>
        <v>19502</v>
      </c>
      <c r="AG44" s="9">
        <f t="shared" si="79"/>
        <v>20007</v>
      </c>
      <c r="AH44" s="9">
        <f>SUM(AH40:AH43)</f>
        <v>27329</v>
      </c>
      <c r="AI44" s="9">
        <f>SUM(AI40:AI43)</f>
        <v>29862</v>
      </c>
      <c r="AJ44" s="24">
        <f>SUM(AJ40:AJ43)</f>
        <v>96700</v>
      </c>
    </row>
    <row r="45" spans="1:36" s="2" customFormat="1" ht="12.75" x14ac:dyDescent="0.2">
      <c r="A45" s="4" t="s">
        <v>84</v>
      </c>
      <c r="B45" s="5">
        <v>366</v>
      </c>
      <c r="C45" s="5">
        <v>468</v>
      </c>
      <c r="D45" s="5">
        <v>769</v>
      </c>
      <c r="E45" s="5">
        <v>376</v>
      </c>
      <c r="F45" s="21">
        <f t="shared" ref="F45" si="80">SUM(B45:E45)</f>
        <v>1979</v>
      </c>
      <c r="G45" s="5">
        <v>373</v>
      </c>
      <c r="H45" s="5">
        <v>370</v>
      </c>
      <c r="I45" s="5">
        <v>369</v>
      </c>
      <c r="J45" s="5">
        <v>368</v>
      </c>
      <c r="K45" s="21">
        <f t="shared" ref="K45" si="81">SUM(G45:J45)</f>
        <v>1480</v>
      </c>
      <c r="L45" s="5">
        <v>439</v>
      </c>
      <c r="M45" s="5">
        <v>655</v>
      </c>
      <c r="N45" s="5">
        <v>609</v>
      </c>
      <c r="O45" s="5">
        <v>610</v>
      </c>
      <c r="P45" s="21">
        <f t="shared" ref="P45" si="82">SUM(L45:O45)</f>
        <v>2313</v>
      </c>
      <c r="Q45" s="5">
        <v>477</v>
      </c>
      <c r="R45" s="5">
        <v>410</v>
      </c>
      <c r="S45" s="5">
        <v>392</v>
      </c>
      <c r="T45" s="5">
        <v>409</v>
      </c>
      <c r="U45" s="21">
        <f t="shared" ref="U45" si="83">SUM(Q45:T45)</f>
        <v>1688</v>
      </c>
      <c r="V45" s="5">
        <v>406</v>
      </c>
      <c r="W45" s="5">
        <v>406</v>
      </c>
      <c r="X45" s="5">
        <v>407</v>
      </c>
      <c r="Y45" s="5">
        <v>405</v>
      </c>
      <c r="Z45" s="21">
        <f t="shared" ref="Z45" si="84">SUM(V45:Y45)</f>
        <v>1624</v>
      </c>
      <c r="AA45" s="5">
        <v>403</v>
      </c>
      <c r="AB45" s="5">
        <v>403</v>
      </c>
      <c r="AC45" s="5">
        <v>403</v>
      </c>
      <c r="AD45" s="5">
        <v>583</v>
      </c>
      <c r="AE45" s="21">
        <f t="shared" ref="AE45" si="85">SUM(AA45:AD45)</f>
        <v>1792</v>
      </c>
      <c r="AF45" s="5">
        <v>372</v>
      </c>
      <c r="AG45" s="5">
        <v>372</v>
      </c>
      <c r="AH45" s="5">
        <v>378</v>
      </c>
      <c r="AI45" s="5">
        <v>412</v>
      </c>
      <c r="AJ45" s="21">
        <f t="shared" ref="AJ45" si="86">SUM(AF45:AI45)</f>
        <v>1534</v>
      </c>
    </row>
    <row r="46" spans="1:36" s="2" customFormat="1" ht="13.5" thickBot="1" x14ac:dyDescent="0.25">
      <c r="A46" s="1" t="s">
        <v>85</v>
      </c>
      <c r="B46" s="10">
        <f t="shared" ref="B46:P46" si="87">SUM(B44:B45)</f>
        <v>8605</v>
      </c>
      <c r="C46" s="10">
        <f t="shared" si="87"/>
        <v>7869</v>
      </c>
      <c r="D46" s="10">
        <f t="shared" si="87"/>
        <v>9249</v>
      </c>
      <c r="E46" s="10">
        <f t="shared" si="87"/>
        <v>8467</v>
      </c>
      <c r="F46" s="25">
        <f t="shared" si="87"/>
        <v>34190</v>
      </c>
      <c r="G46" s="10">
        <f t="shared" si="87"/>
        <v>6702</v>
      </c>
      <c r="H46" s="10">
        <f t="shared" si="87"/>
        <v>6641</v>
      </c>
      <c r="I46" s="10">
        <f t="shared" si="87"/>
        <v>8565</v>
      </c>
      <c r="J46" s="10">
        <f t="shared" si="87"/>
        <v>8004</v>
      </c>
      <c r="K46" s="25">
        <f t="shared" si="87"/>
        <v>29912</v>
      </c>
      <c r="L46" s="10">
        <f t="shared" si="87"/>
        <v>12635</v>
      </c>
      <c r="M46" s="10">
        <f t="shared" si="87"/>
        <v>21605</v>
      </c>
      <c r="N46" s="10">
        <f t="shared" si="87"/>
        <v>19445</v>
      </c>
      <c r="O46" s="10">
        <f t="shared" si="87"/>
        <v>19476</v>
      </c>
      <c r="P46" s="25">
        <f t="shared" si="87"/>
        <v>73161</v>
      </c>
      <c r="Q46" s="10">
        <f t="shared" ref="Q46:R46" si="88">SUM(Q44:Q45)</f>
        <v>16274</v>
      </c>
      <c r="R46" s="10">
        <f t="shared" si="88"/>
        <v>17137</v>
      </c>
      <c r="S46" s="10">
        <f t="shared" ref="S46:U46" si="89">SUM(S44:S45)</f>
        <v>19178</v>
      </c>
      <c r="T46" s="10">
        <f t="shared" si="89"/>
        <v>19516</v>
      </c>
      <c r="U46" s="25">
        <f t="shared" si="89"/>
        <v>72105</v>
      </c>
      <c r="V46" s="10">
        <f t="shared" ref="V46:W46" si="90">SUM(V44:V45)</f>
        <v>19044</v>
      </c>
      <c r="W46" s="10">
        <f t="shared" si="90"/>
        <v>18171</v>
      </c>
      <c r="X46" s="10">
        <f t="shared" ref="X46:AA46" si="91">SUM(X44:X45)</f>
        <v>20594</v>
      </c>
      <c r="Y46" s="10">
        <f t="shared" si="91"/>
        <v>20076</v>
      </c>
      <c r="Z46" s="25">
        <f t="shared" si="91"/>
        <v>77885</v>
      </c>
      <c r="AA46" s="10">
        <f t="shared" si="91"/>
        <v>18399</v>
      </c>
      <c r="AB46" s="10">
        <f t="shared" ref="AB46:AC46" si="92">SUM(AB44:AB45)</f>
        <v>17432</v>
      </c>
      <c r="AC46" s="10">
        <f t="shared" si="92"/>
        <v>21534</v>
      </c>
      <c r="AD46" s="10">
        <f t="shared" ref="AD46:AE46" si="93">SUM(AD44:AD45)</f>
        <v>20060</v>
      </c>
      <c r="AE46" s="25">
        <f t="shared" si="93"/>
        <v>77425</v>
      </c>
      <c r="AF46" s="10">
        <f t="shared" ref="AF46:AG46" si="94">SUM(AF44:AF45)</f>
        <v>19874</v>
      </c>
      <c r="AG46" s="10">
        <f t="shared" si="94"/>
        <v>20379</v>
      </c>
      <c r="AH46" s="10">
        <f>SUM(AH44:AH45)</f>
        <v>27707</v>
      </c>
      <c r="AI46" s="10">
        <f>SUM(AI44:AI45)</f>
        <v>30274</v>
      </c>
      <c r="AJ46" s="25">
        <f>SUM(AJ44:AJ45)</f>
        <v>98234</v>
      </c>
    </row>
    <row r="47" spans="1:36" s="2" customFormat="1" ht="13.5" thickTop="1" x14ac:dyDescent="0.2">
      <c r="A47" s="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s="2" customFormat="1" ht="12.75" x14ac:dyDescent="0.2">
      <c r="A48" s="53" t="s">
        <v>86</v>
      </c>
      <c r="B48" s="3"/>
      <c r="C48" s="3"/>
      <c r="D48" s="3"/>
      <c r="E48" s="3"/>
      <c r="F48" s="20"/>
      <c r="G48" s="3"/>
      <c r="H48" s="3"/>
      <c r="I48" s="3"/>
      <c r="J48" s="3"/>
      <c r="K48" s="20"/>
      <c r="L48" s="3"/>
      <c r="M48" s="3"/>
      <c r="N48" s="3"/>
      <c r="O48" s="3"/>
      <c r="P48" s="20"/>
      <c r="Q48" s="3"/>
      <c r="R48" s="3"/>
      <c r="S48" s="3"/>
      <c r="T48" s="3"/>
      <c r="U48" s="20"/>
      <c r="V48" s="3"/>
      <c r="W48" s="3"/>
      <c r="X48" s="3"/>
      <c r="Y48" s="3"/>
      <c r="Z48" s="20"/>
      <c r="AA48" s="3"/>
      <c r="AB48" s="3"/>
      <c r="AC48" s="3"/>
      <c r="AD48" s="3"/>
      <c r="AE48" s="20"/>
      <c r="AF48" s="3"/>
      <c r="AG48" s="3"/>
      <c r="AH48" s="3"/>
      <c r="AI48" s="3"/>
      <c r="AJ48" s="20"/>
    </row>
    <row r="49" spans="1:36" s="2" customFormat="1" ht="12.75" x14ac:dyDescent="0.2">
      <c r="A49" s="4" t="s">
        <v>76</v>
      </c>
      <c r="B49" s="11">
        <v>2245</v>
      </c>
      <c r="C49" s="11">
        <v>3509</v>
      </c>
      <c r="D49" s="11">
        <v>1364</v>
      </c>
      <c r="E49" s="11">
        <v>1400</v>
      </c>
      <c r="F49" s="26">
        <f t="shared" ref="F49:F50" si="95">SUM(B49:E49)</f>
        <v>8518</v>
      </c>
      <c r="G49" s="11">
        <v>4809</v>
      </c>
      <c r="H49" s="11">
        <v>1047</v>
      </c>
      <c r="I49" s="11">
        <v>618</v>
      </c>
      <c r="J49" s="11">
        <v>640</v>
      </c>
      <c r="K49" s="26">
        <f t="shared" ref="K49:K50" si="96">SUM(G49:J49)</f>
        <v>7114</v>
      </c>
      <c r="L49" s="11">
        <v>3723</v>
      </c>
      <c r="M49" s="11">
        <v>2896</v>
      </c>
      <c r="N49" s="11">
        <v>4267</v>
      </c>
      <c r="O49" s="11">
        <v>6068</v>
      </c>
      <c r="P49" s="26">
        <f t="shared" ref="P49:P50" si="97">SUM(L49:O49)</f>
        <v>16954</v>
      </c>
      <c r="Q49" s="11">
        <v>1588</v>
      </c>
      <c r="R49" s="11">
        <v>7455</v>
      </c>
      <c r="S49" s="11">
        <v>5283</v>
      </c>
      <c r="T49" s="11">
        <v>6423</v>
      </c>
      <c r="U49" s="26">
        <f t="shared" ref="U49:U50" si="98">SUM(Q49:T49)</f>
        <v>20749</v>
      </c>
      <c r="V49" s="11">
        <v>6504</v>
      </c>
      <c r="W49" s="11">
        <v>3212</v>
      </c>
      <c r="X49" s="11">
        <v>5257</v>
      </c>
      <c r="Y49" s="11">
        <v>11017</v>
      </c>
      <c r="Z49" s="26">
        <f t="shared" ref="Z49:Z50" si="99">SUM(V49:Y49)</f>
        <v>25990</v>
      </c>
      <c r="AA49" s="11">
        <v>8829</v>
      </c>
      <c r="AB49" s="11">
        <v>7219</v>
      </c>
      <c r="AC49" s="11">
        <v>6703</v>
      </c>
      <c r="AD49" s="11">
        <v>4630</v>
      </c>
      <c r="AE49" s="26">
        <f t="shared" ref="AE49:AE50" si="100">SUM(AA49:AD49)</f>
        <v>27381</v>
      </c>
      <c r="AF49" s="11">
        <v>10860</v>
      </c>
      <c r="AG49" s="11">
        <v>7328</v>
      </c>
      <c r="AH49" s="11">
        <v>6845</v>
      </c>
      <c r="AI49" s="11">
        <v>4899</v>
      </c>
      <c r="AJ49" s="26">
        <f t="shared" ref="AJ49:AJ50" si="101">SUM(AF49:AI49)</f>
        <v>29932</v>
      </c>
    </row>
    <row r="50" spans="1:36" s="2" customFormat="1" ht="12.75" x14ac:dyDescent="0.2">
      <c r="A50" s="4" t="s">
        <v>87</v>
      </c>
      <c r="B50" s="5">
        <v>-211</v>
      </c>
      <c r="C50" s="5">
        <v>-122</v>
      </c>
      <c r="D50" s="5">
        <v>-99</v>
      </c>
      <c r="E50" s="5">
        <v>-75</v>
      </c>
      <c r="F50" s="21">
        <f t="shared" si="95"/>
        <v>-507</v>
      </c>
      <c r="G50" s="5">
        <v>-19</v>
      </c>
      <c r="H50" s="5">
        <v>-65</v>
      </c>
      <c r="I50" s="5">
        <v>-39</v>
      </c>
      <c r="J50" s="5">
        <v>-164</v>
      </c>
      <c r="K50" s="21">
        <f t="shared" si="96"/>
        <v>-287</v>
      </c>
      <c r="L50" s="5">
        <v>-118</v>
      </c>
      <c r="M50" s="5">
        <v>-76</v>
      </c>
      <c r="N50" s="5">
        <v>-19</v>
      </c>
      <c r="O50" s="5">
        <f>-256+213</f>
        <v>-43</v>
      </c>
      <c r="P50" s="21">
        <f t="shared" si="97"/>
        <v>-256</v>
      </c>
      <c r="Q50" s="5">
        <v>-32</v>
      </c>
      <c r="R50" s="5">
        <v>-28</v>
      </c>
      <c r="S50" s="5">
        <v>-55</v>
      </c>
      <c r="T50" s="5">
        <v>-80</v>
      </c>
      <c r="U50" s="21">
        <f t="shared" si="98"/>
        <v>-195</v>
      </c>
      <c r="V50" s="5">
        <v>-6</v>
      </c>
      <c r="W50" s="5">
        <v>-519</v>
      </c>
      <c r="X50" s="5">
        <v>-8</v>
      </c>
      <c r="Y50" s="5">
        <v>-109</v>
      </c>
      <c r="Z50" s="21">
        <f t="shared" si="99"/>
        <v>-642</v>
      </c>
      <c r="AA50" s="5">
        <v>-6</v>
      </c>
      <c r="AB50" s="5">
        <v>-6</v>
      </c>
      <c r="AC50" s="5">
        <v>-6</v>
      </c>
      <c r="AD50" s="5">
        <v>-3</v>
      </c>
      <c r="AE50" s="21">
        <f t="shared" si="100"/>
        <v>-21</v>
      </c>
      <c r="AF50" s="5">
        <v>-6</v>
      </c>
      <c r="AG50" s="5">
        <v>-3</v>
      </c>
      <c r="AH50" s="5">
        <v>0</v>
      </c>
      <c r="AI50" s="5">
        <v>-2</v>
      </c>
      <c r="AJ50" s="21">
        <f t="shared" si="101"/>
        <v>-11</v>
      </c>
    </row>
    <row r="51" spans="1:36" s="2" customFormat="1" ht="13.5" thickBot="1" x14ac:dyDescent="0.25">
      <c r="A51" s="1" t="s">
        <v>88</v>
      </c>
      <c r="B51" s="10">
        <f t="shared" ref="B51" si="102">SUM(B49:B50)</f>
        <v>2034</v>
      </c>
      <c r="C51" s="10">
        <f t="shared" ref="C51" si="103">SUM(C49:C50)</f>
        <v>3387</v>
      </c>
      <c r="D51" s="10">
        <f t="shared" ref="D51" si="104">SUM(D49:D50)</f>
        <v>1265</v>
      </c>
      <c r="E51" s="10">
        <f>SUM(E49:E50)</f>
        <v>1325</v>
      </c>
      <c r="F51" s="25">
        <f>SUM(F49:F50)</f>
        <v>8011</v>
      </c>
      <c r="G51" s="10">
        <f t="shared" ref="G51" si="105">SUM(G49:G50)</f>
        <v>4790</v>
      </c>
      <c r="H51" s="10">
        <f t="shared" ref="H51" si="106">SUM(H49:H50)</f>
        <v>982</v>
      </c>
      <c r="I51" s="10">
        <f t="shared" ref="I51" si="107">SUM(I49:I50)</f>
        <v>579</v>
      </c>
      <c r="J51" s="10">
        <f t="shared" ref="J51:P51" si="108">SUM(J49:J50)</f>
        <v>476</v>
      </c>
      <c r="K51" s="25">
        <f t="shared" si="108"/>
        <v>6827</v>
      </c>
      <c r="L51" s="10">
        <f t="shared" si="108"/>
        <v>3605</v>
      </c>
      <c r="M51" s="10">
        <f t="shared" si="108"/>
        <v>2820</v>
      </c>
      <c r="N51" s="10">
        <f t="shared" si="108"/>
        <v>4248</v>
      </c>
      <c r="O51" s="10">
        <f t="shared" si="108"/>
        <v>6025</v>
      </c>
      <c r="P51" s="25">
        <f t="shared" si="108"/>
        <v>16698</v>
      </c>
      <c r="Q51" s="10">
        <f t="shared" ref="Q51:R51" si="109">SUM(Q49:Q50)</f>
        <v>1556</v>
      </c>
      <c r="R51" s="10">
        <f t="shared" si="109"/>
        <v>7427</v>
      </c>
      <c r="S51" s="10">
        <f t="shared" ref="S51:U51" si="110">SUM(S49:S50)</f>
        <v>5228</v>
      </c>
      <c r="T51" s="10">
        <f t="shared" si="110"/>
        <v>6343</v>
      </c>
      <c r="U51" s="25">
        <f t="shared" si="110"/>
        <v>20554</v>
      </c>
      <c r="V51" s="10">
        <f t="shared" ref="V51:W51" si="111">SUM(V49:V50)</f>
        <v>6498</v>
      </c>
      <c r="W51" s="10">
        <f t="shared" si="111"/>
        <v>2693</v>
      </c>
      <c r="X51" s="10">
        <f t="shared" ref="X51:AA51" si="112">SUM(X49:X50)</f>
        <v>5249</v>
      </c>
      <c r="Y51" s="10">
        <f t="shared" si="112"/>
        <v>10908</v>
      </c>
      <c r="Z51" s="25">
        <f t="shared" si="112"/>
        <v>25348</v>
      </c>
      <c r="AA51" s="10">
        <f t="shared" si="112"/>
        <v>8823</v>
      </c>
      <c r="AB51" s="10">
        <f t="shared" ref="AB51:AC51" si="113">SUM(AB49:AB50)</f>
        <v>7213</v>
      </c>
      <c r="AC51" s="10">
        <f t="shared" si="113"/>
        <v>6697</v>
      </c>
      <c r="AD51" s="10">
        <f t="shared" ref="AD51:AE51" si="114">SUM(AD49:AD50)</f>
        <v>4627</v>
      </c>
      <c r="AE51" s="25">
        <f t="shared" si="114"/>
        <v>27360</v>
      </c>
      <c r="AF51" s="10">
        <f t="shared" ref="AF51:AG51" si="115">SUM(AF49:AF50)</f>
        <v>10854</v>
      </c>
      <c r="AG51" s="10">
        <f t="shared" si="115"/>
        <v>7325</v>
      </c>
      <c r="AH51" s="10">
        <f t="shared" ref="AH51:AI51" si="116">SUM(AH49:AH50)</f>
        <v>6845</v>
      </c>
      <c r="AI51" s="10">
        <f t="shared" si="116"/>
        <v>4897</v>
      </c>
      <c r="AJ51" s="25">
        <f t="shared" ref="AJ51" si="117">SUM(AJ49:AJ50)</f>
        <v>29921</v>
      </c>
    </row>
    <row r="52" spans="1:36" s="2" customFormat="1" ht="13.5" thickTop="1" x14ac:dyDescent="0.2">
      <c r="A52" s="1"/>
      <c r="B52" s="11"/>
      <c r="C52" s="11"/>
      <c r="D52" s="11"/>
      <c r="E52" s="11"/>
      <c r="F52" s="26"/>
      <c r="G52" s="11"/>
      <c r="H52" s="11"/>
      <c r="I52" s="11"/>
      <c r="J52" s="11"/>
      <c r="K52" s="26"/>
      <c r="L52" s="11"/>
      <c r="M52" s="11"/>
      <c r="N52" s="11"/>
      <c r="O52" s="11"/>
      <c r="P52" s="26"/>
      <c r="Q52" s="11"/>
      <c r="R52" s="11"/>
      <c r="S52" s="11"/>
      <c r="T52" s="11"/>
      <c r="U52" s="26"/>
      <c r="V52" s="11"/>
      <c r="W52" s="11"/>
      <c r="X52" s="11"/>
      <c r="Y52" s="11"/>
      <c r="Z52" s="26"/>
      <c r="AA52" s="11"/>
      <c r="AB52" s="11"/>
      <c r="AC52" s="11"/>
      <c r="AD52" s="11"/>
      <c r="AE52" s="26"/>
      <c r="AF52" s="11"/>
      <c r="AG52" s="11"/>
      <c r="AH52" s="11"/>
      <c r="AI52" s="11"/>
      <c r="AJ52" s="26"/>
    </row>
    <row r="53" spans="1:36" s="65" customFormat="1" ht="13.5" x14ac:dyDescent="0.2">
      <c r="A53" s="84" t="s">
        <v>129</v>
      </c>
      <c r="F53" s="75"/>
      <c r="K53" s="75"/>
      <c r="P53" s="75"/>
      <c r="U53" s="75"/>
      <c r="Z53" s="75"/>
      <c r="AE53" s="75"/>
      <c r="AJ53" s="75"/>
    </row>
  </sheetData>
  <conditionalFormatting sqref="A27:P29 A32:P53 A6:S21 T11:AH21 AJ11:AJ21 A21:AJ23 A24:Z24 AH24:AJ24">
    <cfRule type="expression" dxfId="117" priority="140" stopIfTrue="1">
      <formula>MOD(ROW(),2)=0</formula>
    </cfRule>
  </conditionalFormatting>
  <conditionalFormatting sqref="Q27:Q29 Q32:Q53">
    <cfRule type="expression" dxfId="116" priority="128" stopIfTrue="1">
      <formula>MOD(ROW(),2)=0</formula>
    </cfRule>
  </conditionalFormatting>
  <conditionalFormatting sqref="A25:P25 A26:J26 L26:P26">
    <cfRule type="expression" dxfId="115" priority="127" stopIfTrue="1">
      <formula>MOD(ROW(),2)=0</formula>
    </cfRule>
  </conditionalFormatting>
  <conditionalFormatting sqref="Q25:Q26">
    <cfRule type="expression" dxfId="114" priority="126" stopIfTrue="1">
      <formula>MOD(ROW(),2)=0</formula>
    </cfRule>
  </conditionalFormatting>
  <conditionalFormatting sqref="A31:P31">
    <cfRule type="expression" dxfId="113" priority="125" stopIfTrue="1">
      <formula>MOD(ROW(),2)=0</formula>
    </cfRule>
  </conditionalFormatting>
  <conditionalFormatting sqref="Q31">
    <cfRule type="expression" dxfId="112" priority="124" stopIfTrue="1">
      <formula>MOD(ROW(),2)=0</formula>
    </cfRule>
  </conditionalFormatting>
  <conditionalFormatting sqref="R27:R29 R32:R53">
    <cfRule type="expression" dxfId="111" priority="123" stopIfTrue="1">
      <formula>MOD(ROW(),2)=0</formula>
    </cfRule>
  </conditionalFormatting>
  <conditionalFormatting sqref="R25:R26">
    <cfRule type="expression" dxfId="110" priority="122" stopIfTrue="1">
      <formula>MOD(ROW(),2)=0</formula>
    </cfRule>
  </conditionalFormatting>
  <conditionalFormatting sqref="R31">
    <cfRule type="expression" dxfId="109" priority="121" stopIfTrue="1">
      <formula>MOD(ROW(),2)=0</formula>
    </cfRule>
  </conditionalFormatting>
  <conditionalFormatting sqref="S27:S29 S32:S53 T10:U10">
    <cfRule type="expression" dxfId="108" priority="120" stopIfTrue="1">
      <formula>MOD(ROW(),2)=0</formula>
    </cfRule>
  </conditionalFormatting>
  <conditionalFormatting sqref="S25:S26">
    <cfRule type="expression" dxfId="107" priority="119" stopIfTrue="1">
      <formula>MOD(ROW(),2)=0</formula>
    </cfRule>
  </conditionalFormatting>
  <conditionalFormatting sqref="S31">
    <cfRule type="expression" dxfId="106" priority="118" stopIfTrue="1">
      <formula>MOD(ROW(),2)=0</formula>
    </cfRule>
  </conditionalFormatting>
  <conditionalFormatting sqref="T6:T9 T27:T29 T32:T53">
    <cfRule type="expression" dxfId="105" priority="117" stopIfTrue="1">
      <formula>MOD(ROW(),2)=0</formula>
    </cfRule>
  </conditionalFormatting>
  <conditionalFormatting sqref="T25:T26">
    <cfRule type="expression" dxfId="104" priority="116" stopIfTrue="1">
      <formula>MOD(ROW(),2)=0</formula>
    </cfRule>
  </conditionalFormatting>
  <conditionalFormatting sqref="T31">
    <cfRule type="expression" dxfId="103" priority="115" stopIfTrue="1">
      <formula>MOD(ROW(),2)=0</formula>
    </cfRule>
  </conditionalFormatting>
  <conditionalFormatting sqref="U6:U9 U27:U29 U32:U53">
    <cfRule type="expression" dxfId="102" priority="114" stopIfTrue="1">
      <formula>MOD(ROW(),2)=0</formula>
    </cfRule>
  </conditionalFormatting>
  <conditionalFormatting sqref="U25:U26">
    <cfRule type="expression" dxfId="101" priority="113" stopIfTrue="1">
      <formula>MOD(ROW(),2)=0</formula>
    </cfRule>
  </conditionalFormatting>
  <conditionalFormatting sqref="U31">
    <cfRule type="expression" dxfId="100" priority="112" stopIfTrue="1">
      <formula>MOD(ROW(),2)=0</formula>
    </cfRule>
  </conditionalFormatting>
  <conditionalFormatting sqref="V10">
    <cfRule type="expression" dxfId="99" priority="111" stopIfTrue="1">
      <formula>MOD(ROW(),2)=0</formula>
    </cfRule>
  </conditionalFormatting>
  <conditionalFormatting sqref="V6:V9 V27:V29 V32:V53">
    <cfRule type="expression" dxfId="98" priority="110" stopIfTrue="1">
      <formula>MOD(ROW(),2)=0</formula>
    </cfRule>
  </conditionalFormatting>
  <conditionalFormatting sqref="V25:V26">
    <cfRule type="expression" dxfId="97" priority="109" stopIfTrue="1">
      <formula>MOD(ROW(),2)=0</formula>
    </cfRule>
  </conditionalFormatting>
  <conditionalFormatting sqref="V31">
    <cfRule type="expression" dxfId="96" priority="108" stopIfTrue="1">
      <formula>MOD(ROW(),2)=0</formula>
    </cfRule>
  </conditionalFormatting>
  <conditionalFormatting sqref="K26">
    <cfRule type="expression" dxfId="95" priority="107" stopIfTrue="1">
      <formula>MOD(ROW(),2)=0</formula>
    </cfRule>
  </conditionalFormatting>
  <conditionalFormatting sqref="W10">
    <cfRule type="expression" dxfId="94" priority="106" stopIfTrue="1">
      <formula>MOD(ROW(),2)=0</formula>
    </cfRule>
  </conditionalFormatting>
  <conditionalFormatting sqref="W6:W9 W27:W29 W32:W53">
    <cfRule type="expression" dxfId="93" priority="105" stopIfTrue="1">
      <formula>MOD(ROW(),2)=0</formula>
    </cfRule>
  </conditionalFormatting>
  <conditionalFormatting sqref="W25:W26">
    <cfRule type="expression" dxfId="92" priority="104" stopIfTrue="1">
      <formula>MOD(ROW(),2)=0</formula>
    </cfRule>
  </conditionalFormatting>
  <conditionalFormatting sqref="W31">
    <cfRule type="expression" dxfId="91" priority="103" stopIfTrue="1">
      <formula>MOD(ROW(),2)=0</formula>
    </cfRule>
  </conditionalFormatting>
  <conditionalFormatting sqref="X10">
    <cfRule type="expression" dxfId="90" priority="102" stopIfTrue="1">
      <formula>MOD(ROW(),2)=0</formula>
    </cfRule>
  </conditionalFormatting>
  <conditionalFormatting sqref="X6:X9 X27:X29 X32:X53">
    <cfRule type="expression" dxfId="89" priority="101" stopIfTrue="1">
      <formula>MOD(ROW(),2)=0</formula>
    </cfRule>
  </conditionalFormatting>
  <conditionalFormatting sqref="X25:X26">
    <cfRule type="expression" dxfId="88" priority="100" stopIfTrue="1">
      <formula>MOD(ROW(),2)=0</formula>
    </cfRule>
  </conditionalFormatting>
  <conditionalFormatting sqref="X31">
    <cfRule type="expression" dxfId="87" priority="99" stopIfTrue="1">
      <formula>MOD(ROW(),2)=0</formula>
    </cfRule>
  </conditionalFormatting>
  <conditionalFormatting sqref="Y10">
    <cfRule type="expression" dxfId="86" priority="98" stopIfTrue="1">
      <formula>MOD(ROW(),2)=0</formula>
    </cfRule>
  </conditionalFormatting>
  <conditionalFormatting sqref="Y6:Y9 Y27:Y29 Y32:Y53">
    <cfRule type="expression" dxfId="85" priority="97" stopIfTrue="1">
      <formula>MOD(ROW(),2)=0</formula>
    </cfRule>
  </conditionalFormatting>
  <conditionalFormatting sqref="Y25:Y26">
    <cfRule type="expression" dxfId="84" priority="96" stopIfTrue="1">
      <formula>MOD(ROW(),2)=0</formula>
    </cfRule>
  </conditionalFormatting>
  <conditionalFormatting sqref="Y31">
    <cfRule type="expression" dxfId="83" priority="95" stopIfTrue="1">
      <formula>MOD(ROW(),2)=0</formula>
    </cfRule>
  </conditionalFormatting>
  <conditionalFormatting sqref="Z10">
    <cfRule type="expression" dxfId="82" priority="94" stopIfTrue="1">
      <formula>MOD(ROW(),2)=0</formula>
    </cfRule>
  </conditionalFormatting>
  <conditionalFormatting sqref="Z6:Z9 Z27:Z29 Z32:Z53">
    <cfRule type="expression" dxfId="81" priority="93" stopIfTrue="1">
      <formula>MOD(ROW(),2)=0</formula>
    </cfRule>
  </conditionalFormatting>
  <conditionalFormatting sqref="Z25:Z26">
    <cfRule type="expression" dxfId="80" priority="92" stopIfTrue="1">
      <formula>MOD(ROW(),2)=0</formula>
    </cfRule>
  </conditionalFormatting>
  <conditionalFormatting sqref="Z31">
    <cfRule type="expression" dxfId="79" priority="91" stopIfTrue="1">
      <formula>MOD(ROW(),2)=0</formula>
    </cfRule>
  </conditionalFormatting>
  <conditionalFormatting sqref="AA10">
    <cfRule type="expression" dxfId="78" priority="90" stopIfTrue="1">
      <formula>MOD(ROW(),2)=0</formula>
    </cfRule>
  </conditionalFormatting>
  <conditionalFormatting sqref="AA6:AA9 AA27:AA29 AA32:AA35 AA37:AA53">
    <cfRule type="expression" dxfId="77" priority="89" stopIfTrue="1">
      <formula>MOD(ROW(),2)=0</formula>
    </cfRule>
  </conditionalFormatting>
  <conditionalFormatting sqref="AA25:AA26">
    <cfRule type="expression" dxfId="76" priority="88" stopIfTrue="1">
      <formula>MOD(ROW(),2)=0</formula>
    </cfRule>
  </conditionalFormatting>
  <conditionalFormatting sqref="AA31">
    <cfRule type="expression" dxfId="75" priority="87" stopIfTrue="1">
      <formula>MOD(ROW(),2)=0</formula>
    </cfRule>
  </conditionalFormatting>
  <conditionalFormatting sqref="AB10">
    <cfRule type="expression" dxfId="74" priority="86" stopIfTrue="1">
      <formula>MOD(ROW(),2)=0</formula>
    </cfRule>
  </conditionalFormatting>
  <conditionalFormatting sqref="AB6:AB9 AB27:AB29 AB32:AB35 AB37:AB53">
    <cfRule type="expression" dxfId="73" priority="85" stopIfTrue="1">
      <formula>MOD(ROW(),2)=0</formula>
    </cfRule>
  </conditionalFormatting>
  <conditionalFormatting sqref="AB25:AB26">
    <cfRule type="expression" dxfId="72" priority="84" stopIfTrue="1">
      <formula>MOD(ROW(),2)=0</formula>
    </cfRule>
  </conditionalFormatting>
  <conditionalFormatting sqref="AB31">
    <cfRule type="expression" dxfId="71" priority="83" stopIfTrue="1">
      <formula>MOD(ROW(),2)=0</formula>
    </cfRule>
  </conditionalFormatting>
  <conditionalFormatting sqref="AC10">
    <cfRule type="expression" dxfId="70" priority="82" stopIfTrue="1">
      <formula>MOD(ROW(),2)=0</formula>
    </cfRule>
  </conditionalFormatting>
  <conditionalFormatting sqref="AC6:AC9 AC27:AC29 AC32:AC35 AC37:AC53">
    <cfRule type="expression" dxfId="69" priority="81" stopIfTrue="1">
      <formula>MOD(ROW(),2)=0</formula>
    </cfRule>
  </conditionalFormatting>
  <conditionalFormatting sqref="AC25:AC26">
    <cfRule type="expression" dxfId="68" priority="80" stopIfTrue="1">
      <formula>MOD(ROW(),2)=0</formula>
    </cfRule>
  </conditionalFormatting>
  <conditionalFormatting sqref="AC31">
    <cfRule type="expression" dxfId="67" priority="79" stopIfTrue="1">
      <formula>MOD(ROW(),2)=0</formula>
    </cfRule>
  </conditionalFormatting>
  <conditionalFormatting sqref="A30:P30">
    <cfRule type="expression" dxfId="66" priority="78" stopIfTrue="1">
      <formula>MOD(ROW(),2)=0</formula>
    </cfRule>
  </conditionalFormatting>
  <conditionalFormatting sqref="Q30">
    <cfRule type="expression" dxfId="65" priority="77" stopIfTrue="1">
      <formula>MOD(ROW(),2)=0</formula>
    </cfRule>
  </conditionalFormatting>
  <conditionalFormatting sqref="R30">
    <cfRule type="expression" dxfId="64" priority="76" stopIfTrue="1">
      <formula>MOD(ROW(),2)=0</formula>
    </cfRule>
  </conditionalFormatting>
  <conditionalFormatting sqref="S30">
    <cfRule type="expression" dxfId="63" priority="75" stopIfTrue="1">
      <formula>MOD(ROW(),2)=0</formula>
    </cfRule>
  </conditionalFormatting>
  <conditionalFormatting sqref="T30">
    <cfRule type="expression" dxfId="62" priority="74" stopIfTrue="1">
      <formula>MOD(ROW(),2)=0</formula>
    </cfRule>
  </conditionalFormatting>
  <conditionalFormatting sqref="U30">
    <cfRule type="expression" dxfId="61" priority="73" stopIfTrue="1">
      <formula>MOD(ROW(),2)=0</formula>
    </cfRule>
  </conditionalFormatting>
  <conditionalFormatting sqref="V30">
    <cfRule type="expression" dxfId="60" priority="72" stopIfTrue="1">
      <formula>MOD(ROW(),2)=0</formula>
    </cfRule>
  </conditionalFormatting>
  <conditionalFormatting sqref="W30">
    <cfRule type="expression" dxfId="59" priority="71" stopIfTrue="1">
      <formula>MOD(ROW(),2)=0</formula>
    </cfRule>
  </conditionalFormatting>
  <conditionalFormatting sqref="X30">
    <cfRule type="expression" dxfId="58" priority="70" stopIfTrue="1">
      <formula>MOD(ROW(),2)=0</formula>
    </cfRule>
  </conditionalFormatting>
  <conditionalFormatting sqref="Y30">
    <cfRule type="expression" dxfId="57" priority="69" stopIfTrue="1">
      <formula>MOD(ROW(),2)=0</formula>
    </cfRule>
  </conditionalFormatting>
  <conditionalFormatting sqref="Z30">
    <cfRule type="expression" dxfId="56" priority="68" stopIfTrue="1">
      <formula>MOD(ROW(),2)=0</formula>
    </cfRule>
  </conditionalFormatting>
  <conditionalFormatting sqref="AA30">
    <cfRule type="expression" dxfId="55" priority="67" stopIfTrue="1">
      <formula>MOD(ROW(),2)=0</formula>
    </cfRule>
  </conditionalFormatting>
  <conditionalFormatting sqref="AB30">
    <cfRule type="expression" dxfId="54" priority="66" stopIfTrue="1">
      <formula>MOD(ROW(),2)=0</formula>
    </cfRule>
  </conditionalFormatting>
  <conditionalFormatting sqref="AC30">
    <cfRule type="expression" dxfId="53" priority="65" stopIfTrue="1">
      <formula>MOD(ROW(),2)=0</formula>
    </cfRule>
  </conditionalFormatting>
  <conditionalFormatting sqref="AD10">
    <cfRule type="expression" dxfId="52" priority="61" stopIfTrue="1">
      <formula>MOD(ROW(),2)=0</formula>
    </cfRule>
  </conditionalFormatting>
  <conditionalFormatting sqref="AD6:AD9 AD27:AD29 AD32:AD35 AD37:AD53">
    <cfRule type="expression" dxfId="51" priority="60" stopIfTrue="1">
      <formula>MOD(ROW(),2)=0</formula>
    </cfRule>
  </conditionalFormatting>
  <conditionalFormatting sqref="AD25:AD26">
    <cfRule type="expression" dxfId="50" priority="59" stopIfTrue="1">
      <formula>MOD(ROW(),2)=0</formula>
    </cfRule>
  </conditionalFormatting>
  <conditionalFormatting sqref="AD31">
    <cfRule type="expression" dxfId="49" priority="58" stopIfTrue="1">
      <formula>MOD(ROW(),2)=0</formula>
    </cfRule>
  </conditionalFormatting>
  <conditionalFormatting sqref="AD30">
    <cfRule type="expression" dxfId="48" priority="57" stopIfTrue="1">
      <formula>MOD(ROW(),2)=0</formula>
    </cfRule>
  </conditionalFormatting>
  <conditionalFormatting sqref="AE10">
    <cfRule type="expression" dxfId="47" priority="55" stopIfTrue="1">
      <formula>MOD(ROW(),2)=0</formula>
    </cfRule>
  </conditionalFormatting>
  <conditionalFormatting sqref="AE6:AE9 AE27:AE29 AE32:AE35 AE37:AE53">
    <cfRule type="expression" dxfId="46" priority="54" stopIfTrue="1">
      <formula>MOD(ROW(),2)=0</formula>
    </cfRule>
  </conditionalFormatting>
  <conditionalFormatting sqref="AE25:AE26">
    <cfRule type="expression" dxfId="45" priority="53" stopIfTrue="1">
      <formula>MOD(ROW(),2)=0</formula>
    </cfRule>
  </conditionalFormatting>
  <conditionalFormatting sqref="AE31">
    <cfRule type="expression" dxfId="44" priority="52" stopIfTrue="1">
      <formula>MOD(ROW(),2)=0</formula>
    </cfRule>
  </conditionalFormatting>
  <conditionalFormatting sqref="AE30">
    <cfRule type="expression" dxfId="43" priority="51" stopIfTrue="1">
      <formula>MOD(ROW(),2)=0</formula>
    </cfRule>
  </conditionalFormatting>
  <conditionalFormatting sqref="AF10:AG10">
    <cfRule type="expression" dxfId="42" priority="49" stopIfTrue="1">
      <formula>MOD(ROW(),2)=0</formula>
    </cfRule>
  </conditionalFormatting>
  <conditionalFormatting sqref="AF6:AF9 AF27:AF29 AF32:AF35 AF37:AF53">
    <cfRule type="expression" dxfId="41" priority="48" stopIfTrue="1">
      <formula>MOD(ROW(),2)=0</formula>
    </cfRule>
  </conditionalFormatting>
  <conditionalFormatting sqref="AF25:AF26">
    <cfRule type="expression" dxfId="40" priority="47" stopIfTrue="1">
      <formula>MOD(ROW(),2)=0</formula>
    </cfRule>
  </conditionalFormatting>
  <conditionalFormatting sqref="AF31:AG31">
    <cfRule type="expression" dxfId="39" priority="46" stopIfTrue="1">
      <formula>MOD(ROW(),2)=0</formula>
    </cfRule>
  </conditionalFormatting>
  <conditionalFormatting sqref="AF30:AG30">
    <cfRule type="expression" dxfId="38" priority="45" stopIfTrue="1">
      <formula>MOD(ROW(),2)=0</formula>
    </cfRule>
  </conditionalFormatting>
  <conditionalFormatting sqref="AG6:AG9 AG27:AG29 AG32:AG35 AG37:AG53">
    <cfRule type="expression" dxfId="37" priority="43" stopIfTrue="1">
      <formula>MOD(ROW(),2)=0</formula>
    </cfRule>
  </conditionalFormatting>
  <conditionalFormatting sqref="AG24:AG26">
    <cfRule type="expression" dxfId="36" priority="42" stopIfTrue="1">
      <formula>MOD(ROW(),2)=0</formula>
    </cfRule>
  </conditionalFormatting>
  <conditionalFormatting sqref="AH10:AI10">
    <cfRule type="expression" dxfId="35" priority="41" stopIfTrue="1">
      <formula>MOD(ROW(),2)=0</formula>
    </cfRule>
  </conditionalFormatting>
  <conditionalFormatting sqref="AH31">
    <cfRule type="expression" dxfId="34" priority="40" stopIfTrue="1">
      <formula>MOD(ROW(),2)=0</formula>
    </cfRule>
  </conditionalFormatting>
  <conditionalFormatting sqref="AH30">
    <cfRule type="expression" dxfId="33" priority="39" stopIfTrue="1">
      <formula>MOD(ROW(),2)=0</formula>
    </cfRule>
  </conditionalFormatting>
  <conditionalFormatting sqref="AH6:AH9 AH27:AH29 AH32:AH35 AH37:AH53 AI12 AI20:AI21 AI37 AI44 AI46 AI51">
    <cfRule type="expression" dxfId="32" priority="38" stopIfTrue="1">
      <formula>MOD(ROW(),2)=0</formula>
    </cfRule>
  </conditionalFormatting>
  <conditionalFormatting sqref="AH25:AH26">
    <cfRule type="expression" dxfId="31" priority="37" stopIfTrue="1">
      <formula>MOD(ROW(),2)=0</formula>
    </cfRule>
  </conditionalFormatting>
  <conditionalFormatting sqref="AA36">
    <cfRule type="expression" dxfId="30" priority="36" stopIfTrue="1">
      <formula>MOD(ROW(),2)=0</formula>
    </cfRule>
  </conditionalFormatting>
  <conditionalFormatting sqref="AB36">
    <cfRule type="expression" dxfId="29" priority="35" stopIfTrue="1">
      <formula>MOD(ROW(),2)=0</formula>
    </cfRule>
  </conditionalFormatting>
  <conditionalFormatting sqref="AC36">
    <cfRule type="expression" dxfId="28" priority="34" stopIfTrue="1">
      <formula>MOD(ROW(),2)=0</formula>
    </cfRule>
  </conditionalFormatting>
  <conditionalFormatting sqref="AD36">
    <cfRule type="expression" dxfId="27" priority="33" stopIfTrue="1">
      <formula>MOD(ROW(),2)=0</formula>
    </cfRule>
  </conditionalFormatting>
  <conditionalFormatting sqref="AE36">
    <cfRule type="expression" dxfId="26" priority="32" stopIfTrue="1">
      <formula>MOD(ROW(),2)=0</formula>
    </cfRule>
  </conditionalFormatting>
  <conditionalFormatting sqref="AF36">
    <cfRule type="expression" dxfId="25" priority="31" stopIfTrue="1">
      <formula>MOD(ROW(),2)=0</formula>
    </cfRule>
  </conditionalFormatting>
  <conditionalFormatting sqref="AG36">
    <cfRule type="expression" dxfId="24" priority="30" stopIfTrue="1">
      <formula>MOD(ROW(),2)=0</formula>
    </cfRule>
  </conditionalFormatting>
  <conditionalFormatting sqref="AH36">
    <cfRule type="expression" dxfId="23" priority="29" stopIfTrue="1">
      <formula>MOD(ROW(),2)=0</formula>
    </cfRule>
  </conditionalFormatting>
  <conditionalFormatting sqref="AI6:AI9 AI27 AI11 AI38:AI43 AI13:AI19 AI29 AI45 AI47:AI50 AI52:AI53">
    <cfRule type="expression" dxfId="22" priority="27" stopIfTrue="1">
      <formula>MOD(ROW(),2)=0</formula>
    </cfRule>
  </conditionalFormatting>
  <conditionalFormatting sqref="AI36">
    <cfRule type="expression" dxfId="21" priority="23" stopIfTrue="1">
      <formula>MOD(ROW(),2)=0</formula>
    </cfRule>
  </conditionalFormatting>
  <conditionalFormatting sqref="AJ10">
    <cfRule type="expression" dxfId="20" priority="22" stopIfTrue="1">
      <formula>MOD(ROW(),2)=0</formula>
    </cfRule>
  </conditionalFormatting>
  <conditionalFormatting sqref="AJ6:AJ9 AJ27:AJ29 AJ32:AJ35 AJ37:AJ53">
    <cfRule type="expression" dxfId="19" priority="21" stopIfTrue="1">
      <formula>MOD(ROW(),2)=0</formula>
    </cfRule>
  </conditionalFormatting>
  <conditionalFormatting sqref="AJ25:AJ26">
    <cfRule type="expression" dxfId="18" priority="20" stopIfTrue="1">
      <formula>MOD(ROW(),2)=0</formula>
    </cfRule>
  </conditionalFormatting>
  <conditionalFormatting sqref="AJ31">
    <cfRule type="expression" dxfId="17" priority="19" stopIfTrue="1">
      <formula>MOD(ROW(),2)=0</formula>
    </cfRule>
  </conditionalFormatting>
  <conditionalFormatting sqref="AJ30">
    <cfRule type="expression" dxfId="16" priority="18" stopIfTrue="1">
      <formula>MOD(ROW(),2)=0</formula>
    </cfRule>
  </conditionalFormatting>
  <conditionalFormatting sqref="AI28">
    <cfRule type="expression" dxfId="15" priority="16" stopIfTrue="1">
      <formula>MOD(ROW(),2)=0</formula>
    </cfRule>
  </conditionalFormatting>
  <conditionalFormatting sqref="AI26">
    <cfRule type="expression" dxfId="14" priority="15" stopIfTrue="1">
      <formula>MOD(ROW(),2)=0</formula>
    </cfRule>
  </conditionalFormatting>
  <conditionalFormatting sqref="AI25">
    <cfRule type="expression" dxfId="13" priority="14" stopIfTrue="1">
      <formula>MOD(ROW(),2)=0</formula>
    </cfRule>
  </conditionalFormatting>
  <conditionalFormatting sqref="AI30">
    <cfRule type="expression" dxfId="12" priority="13" stopIfTrue="1">
      <formula>MOD(ROW(),2)=0</formula>
    </cfRule>
  </conditionalFormatting>
  <conditionalFormatting sqref="AI31">
    <cfRule type="expression" dxfId="11" priority="12" stopIfTrue="1">
      <formula>MOD(ROW(),2)=0</formula>
    </cfRule>
  </conditionalFormatting>
  <conditionalFormatting sqref="AI32">
    <cfRule type="expression" dxfId="10" priority="11" stopIfTrue="1">
      <formula>MOD(ROW(),2)=0</formula>
    </cfRule>
  </conditionalFormatting>
  <conditionalFormatting sqref="AI33">
    <cfRule type="expression" dxfId="9" priority="10" stopIfTrue="1">
      <formula>MOD(ROW(),2)=0</formula>
    </cfRule>
  </conditionalFormatting>
  <conditionalFormatting sqref="AI34">
    <cfRule type="expression" dxfId="8" priority="9" stopIfTrue="1">
      <formula>MOD(ROW(),2)=0</formula>
    </cfRule>
  </conditionalFormatting>
  <conditionalFormatting sqref="AI35">
    <cfRule type="expression" dxfId="7" priority="8" stopIfTrue="1">
      <formula>MOD(ROW(),2)=0</formula>
    </cfRule>
  </conditionalFormatting>
  <conditionalFormatting sqref="AJ36">
    <cfRule type="expression" dxfId="6" priority="7" stopIfTrue="1">
      <formula>MOD(ROW(),2)=0</formula>
    </cfRule>
  </conditionalFormatting>
  <conditionalFormatting sqref="AF24">
    <cfRule type="expression" dxfId="5" priority="6" stopIfTrue="1">
      <formula>MOD(ROW(),2)=0</formula>
    </cfRule>
  </conditionalFormatting>
  <conditionalFormatting sqref="AE24">
    <cfRule type="expression" dxfId="4" priority="5" stopIfTrue="1">
      <formula>MOD(ROW(),2)=0</formula>
    </cfRule>
  </conditionalFormatting>
  <conditionalFormatting sqref="AD24">
    <cfRule type="expression" dxfId="3" priority="4" stopIfTrue="1">
      <formula>MOD(ROW(),2)=0</formula>
    </cfRule>
  </conditionalFormatting>
  <conditionalFormatting sqref="AC24">
    <cfRule type="expression" dxfId="2" priority="3" stopIfTrue="1">
      <formula>MOD(ROW(),2)=0</formula>
    </cfRule>
  </conditionalFormatting>
  <conditionalFormatting sqref="AB24">
    <cfRule type="expression" dxfId="1" priority="2" stopIfTrue="1">
      <formula>MOD(ROW(),2)=0</formula>
    </cfRule>
  </conditionalFormatting>
  <conditionalFormatting sqref="AA24">
    <cfRule type="expression" dxfId="0" priority="1" stopIfTrue="1">
      <formula>MOD(ROW(),2)=0</formula>
    </cfRule>
  </conditionalFormatting>
  <pageMargins left="0.7" right="0.7" top="0.75" bottom="0.75" header="0.3" footer="0.3"/>
  <pageSetup scale="62" orientation="landscape" horizontalDpi="1200" r:id="rId1"/>
  <ignoredErrors>
    <ignoredError sqref="F37:F51 K37:K51 P37:P51 P10:P20 K10:K20 F10:F20 P27:P29 K27:K29 F27:F29 U10 U20 U44 AE10 AE20 AE44 AE8 P32:P35 K32:K35 F32:F35 P22 K22 F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Income Statements</vt:lpstr>
      <vt:lpstr>Balance Sheets</vt:lpstr>
      <vt:lpstr>Cash Flows</vt:lpstr>
      <vt:lpstr>Segments</vt:lpstr>
      <vt:lpstr>'Balance Sheets'!Print_Area</vt:lpstr>
      <vt:lpstr>'Cash Flows'!Print_Area</vt:lpstr>
      <vt:lpstr>Cover!Print_Area</vt:lpstr>
      <vt:lpstr>'Income Statements'!Print_Area</vt:lpstr>
      <vt:lpstr>Segments!Print_Area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Jensen</dc:creator>
  <cp:lastModifiedBy>Sonia Stewart</cp:lastModifiedBy>
  <cp:lastPrinted>2023-01-30T13:46:09Z</cp:lastPrinted>
  <dcterms:created xsi:type="dcterms:W3CDTF">2018-12-18T22:22:31Z</dcterms:created>
  <dcterms:modified xsi:type="dcterms:W3CDTF">2023-01-30T13:54:29Z</dcterms:modified>
</cp:coreProperties>
</file>